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000" firstSheet="10" activeTab="15"/>
  </bookViews>
  <sheets>
    <sheet name="January 2001" sheetId="1" r:id="rId1"/>
    <sheet name="April 2001" sheetId="2" r:id="rId2"/>
    <sheet name="July 2001" sheetId="3" r:id="rId3"/>
    <sheet name="Oct 2001" sheetId="4" r:id="rId4"/>
    <sheet name="Jan 2002" sheetId="5" r:id="rId5"/>
    <sheet name="April 2002" sheetId="6" r:id="rId6"/>
    <sheet name="July 2002" sheetId="7" r:id="rId7"/>
    <sheet name="Oct 2002" sheetId="8" r:id="rId8"/>
    <sheet name="Jan 2003" sheetId="9" r:id="rId9"/>
    <sheet name="April 2003" sheetId="10" r:id="rId10"/>
    <sheet name="July 2003" sheetId="11" r:id="rId11"/>
    <sheet name="Oct 2003" sheetId="12" r:id="rId12"/>
    <sheet name="Jan 2004" sheetId="13" r:id="rId13"/>
    <sheet name="April 2004" sheetId="14" r:id="rId14"/>
    <sheet name="July 2004" sheetId="15" r:id="rId15"/>
    <sheet name="Oct 2004" sheetId="16" r:id="rId16"/>
  </sheets>
  <definedNames>
    <definedName name="PAGE1" localSheetId="13">'April 2004'!$A$1:$N$53</definedName>
    <definedName name="PAGE1" localSheetId="12">'Jan 2004'!$A$1:$N$53</definedName>
    <definedName name="PAGE1" localSheetId="10">'July 2003'!$A$1:$N$53</definedName>
    <definedName name="PAGE1" localSheetId="14">'July 2004'!$A$1:$N$53</definedName>
    <definedName name="PAGE1" localSheetId="11">'Oct 2003'!$A$1:$N$53</definedName>
    <definedName name="PAGE1" localSheetId="15">'Oct 2004'!$A$1:$N$53</definedName>
    <definedName name="PAGE1">'April 2003'!$A$1:$N$53</definedName>
    <definedName name="PAGE2" localSheetId="13">'April 2004'!$A$54:$N$116</definedName>
    <definedName name="PAGE2" localSheetId="12">'Jan 2004'!$A$54:$N$116</definedName>
    <definedName name="PAGE2" localSheetId="10">'July 2003'!$A$54:$N$116</definedName>
    <definedName name="PAGE2" localSheetId="14">'July 2004'!$A$54:$N$116</definedName>
    <definedName name="PAGE2" localSheetId="11">'Oct 2003'!$A$54:$N$116</definedName>
    <definedName name="PAGE2" localSheetId="15">'Oct 2004'!$A$54:$N$119</definedName>
    <definedName name="PAGE2">'April 2003'!$A$54:$N$116</definedName>
    <definedName name="PAGE3" localSheetId="13">'April 2004'!$A$117:$N$174</definedName>
    <definedName name="PAGE3" localSheetId="12">'Jan 2004'!$A$117:$N$174</definedName>
    <definedName name="PAGE3" localSheetId="10">'July 2003'!$A$117:$N$174</definedName>
    <definedName name="PAGE3" localSheetId="14">'July 2004'!$A$117:$N$174</definedName>
    <definedName name="PAGE3" localSheetId="11">'Oct 2003'!$A$117:$N$174</definedName>
    <definedName name="PAGE3" localSheetId="15">'Oct 2004'!$A$120:$N$178</definedName>
    <definedName name="PAGE3">'April 2003'!$A$117:$N$174</definedName>
    <definedName name="PAGE4" localSheetId="13">'April 2004'!$A$175:$N$243</definedName>
    <definedName name="PAGE4" localSheetId="12">'Jan 2004'!$A$175:$N$243</definedName>
    <definedName name="PAGE4" localSheetId="10">'July 2003'!$A$175:$N$243</definedName>
    <definedName name="PAGE4" localSheetId="14">'July 2004'!$A$175:$N$243</definedName>
    <definedName name="PAGE4" localSheetId="11">'Oct 2003'!$A$175:$N$243</definedName>
    <definedName name="PAGE4" localSheetId="15">'Oct 2004'!$A$179:$N$247</definedName>
    <definedName name="PAGE4">'April 2003'!$A$175:$N$243</definedName>
    <definedName name="_xlnm.Print_Area" localSheetId="1">'April 2001'!$A$1:$O$241</definedName>
    <definedName name="_xlnm.Print_Area" localSheetId="5">'April 2002'!$A$1:$O$244</definedName>
    <definedName name="_xlnm.Print_Area" localSheetId="9">'April 2003'!$A$1:$O$244</definedName>
    <definedName name="_xlnm.Print_Area" localSheetId="13">'April 2004'!$A$1:$O$244</definedName>
    <definedName name="_xlnm.Print_Area" localSheetId="8">'Jan 2003'!$A$1:$O$244</definedName>
    <definedName name="_xlnm.Print_Area" localSheetId="12">'Jan 2004'!$A$1:$O$244</definedName>
    <definedName name="_xlnm.Print_Area" localSheetId="6">'July 2002'!$A$1:$O$244</definedName>
    <definedName name="_xlnm.Print_Area" localSheetId="10">'July 2003'!$A$1:$O$244</definedName>
    <definedName name="_xlnm.Print_Area" localSheetId="14">'July 2004'!$A$1:$O$244</definedName>
    <definedName name="_xlnm.Print_Area" localSheetId="7">'Oct 2002'!$A$1:$O$244</definedName>
    <definedName name="_xlnm.Print_Area" localSheetId="11">'Oct 2003'!$A$1:$O$244</definedName>
    <definedName name="_xlnm.Print_Area" localSheetId="15">'Oct 2004'!$A$1:$O$248</definedName>
    <definedName name="_xlnm.Print_Area">'April 2003'!$A$175:$N$243</definedName>
  </definedNames>
  <calcPr fullCalcOnLoad="1"/>
</workbook>
</file>

<file path=xl/sharedStrings.xml><?xml version="1.0" encoding="utf-8"?>
<sst xmlns="http://schemas.openxmlformats.org/spreadsheetml/2006/main" count="4590" uniqueCount="256">
  <si>
    <t>Paragon Auto and Secured Finance (No.1) PLC</t>
  </si>
  <si>
    <t>This performance report is issued by Paragon Finance PLC for and on behalf of Paragon Auto and Secured Finance (No.1) PLC</t>
  </si>
  <si>
    <t>N.B. This data fact sheet and its notes can only be a summary of certain features of the bonds and their structure. No representation can be made that the information herein is accurate or complete and no liability is accepted therefor. Reference should be made to the issue</t>
  </si>
  <si>
    <t>documentation for a full description of the bonds and their structure. This data fact sheet and its notes are for information purposes only and are not intended as an offer or invitation with respect to the purchase or sale of any security. Reliance should not be placed</t>
  </si>
  <si>
    <t>on the information herein when making any decision whether to buy, hold or sell bonds (or other securities) or for any other purpose.</t>
  </si>
  <si>
    <t>Summary Transaction  Features</t>
  </si>
  <si>
    <t>Name of Issuer</t>
  </si>
  <si>
    <t>Originator % at Closing</t>
  </si>
  <si>
    <t xml:space="preserve">Originator % at the Quarter End </t>
  </si>
  <si>
    <t>Date of Issue</t>
  </si>
  <si>
    <t>Date of Production</t>
  </si>
  <si>
    <t>Security Level Data</t>
  </si>
  <si>
    <t>Moody's Rating at Closing</t>
  </si>
  <si>
    <t>Standard &amp; Poor's Rating at Closing</t>
  </si>
  <si>
    <t>Current Moody's Rating</t>
  </si>
  <si>
    <t>Current Standard &amp; Poor's Rating</t>
  </si>
  <si>
    <t>ISIN</t>
  </si>
  <si>
    <t>Original Issue Amount (£'000)</t>
  </si>
  <si>
    <t>Previous Outstanding Note Principal</t>
  </si>
  <si>
    <t>Outstanding Note Principal</t>
  </si>
  <si>
    <t xml:space="preserve">Note Interest Margins: </t>
  </si>
  <si>
    <t>Current Note Interest Rates: ( LIBOR + Note margins)</t>
  </si>
  <si>
    <t>Current Note Interest Rates: (EURIBOR + Note margins)</t>
  </si>
  <si>
    <t>Previous Note Interest Rates: (LIBOR + Note margins)</t>
  </si>
  <si>
    <t>Previous Note Interest Rates: (EURIBOR + Note margins)</t>
  </si>
  <si>
    <t>Optional Redemption (Call) Dates</t>
  </si>
  <si>
    <t>Step-up Dates</t>
  </si>
  <si>
    <t>Step-up Margins</t>
  </si>
  <si>
    <t>Class B &amp; C Notes as a percentage Class A Notes at issue</t>
  </si>
  <si>
    <t>Outstanding Class B &amp; C Notes as a percentage of Outstanding Class A Notes</t>
  </si>
  <si>
    <t>Determination Event for Paying Class B &amp; C Notes</t>
  </si>
  <si>
    <t>Interest Payment Cycle</t>
  </si>
  <si>
    <t>Interest Payment Date</t>
  </si>
  <si>
    <t>Previous Interest Period (No. of Days)</t>
  </si>
  <si>
    <t>Current Interest Period (No. of Days)</t>
  </si>
  <si>
    <t xml:space="preserve">Interest Calculated on  the Class A Notes </t>
  </si>
  <si>
    <t xml:space="preserve">Interest Calculated on  the Class B / C Notes </t>
  </si>
  <si>
    <t>Record Date and PDD</t>
  </si>
  <si>
    <t>PASF1 INVESTOR REPORT QUARTER ENDING JANUARY 2001</t>
  </si>
  <si>
    <t>Asset Movements</t>
  </si>
  <si>
    <t>Secured Loans</t>
  </si>
  <si>
    <t>Current Principal Balance (£'000)</t>
  </si>
  <si>
    <t>Accrued Arrears and Interest Sold to Issuer (£'000)</t>
  </si>
  <si>
    <t>Total (£'000)</t>
  </si>
  <si>
    <t>Car Loans</t>
  </si>
  <si>
    <t>Credit Enhancement</t>
  </si>
  <si>
    <t xml:space="preserve">Spread Trap </t>
  </si>
  <si>
    <t>Principal cash</t>
  </si>
  <si>
    <t>Over collateralisation due to replenishment of PDL</t>
  </si>
  <si>
    <t>Discounts on substitutions</t>
  </si>
  <si>
    <t>Spread Trap</t>
  </si>
  <si>
    <t>Principal/Revenue Analysis</t>
  </si>
  <si>
    <t>Opening cash balance</t>
  </si>
  <si>
    <t xml:space="preserve">Total principal cash received this period from assets </t>
  </si>
  <si>
    <t>Total revenue cash received this period from assets</t>
  </si>
  <si>
    <t>Investment Income</t>
  </si>
  <si>
    <t>Swap Receipts</t>
  </si>
  <si>
    <t>Drawing on Sub Loan</t>
  </si>
  <si>
    <t>Initial income for distribution this period</t>
  </si>
  <si>
    <t>Revenue adjustment</t>
  </si>
  <si>
    <t>Final income for distribution this period</t>
  </si>
  <si>
    <t>Revenue payments made or accrued from Revenue Income:</t>
  </si>
  <si>
    <t>Trustee Fee</t>
  </si>
  <si>
    <t>Administrator Fee</t>
  </si>
  <si>
    <t>A Note Basis Swap  Interest</t>
  </si>
  <si>
    <t xml:space="preserve">Third Party payments </t>
  </si>
  <si>
    <t>B Note Interest</t>
  </si>
  <si>
    <t>C Note Interest</t>
  </si>
  <si>
    <t>First Loss Fund  replenishments</t>
  </si>
  <si>
    <t>PDL replenishment</t>
  </si>
  <si>
    <t xml:space="preserve">SWAP termination payments / Swap payments  </t>
  </si>
  <si>
    <t>Surplus income</t>
  </si>
  <si>
    <t>Principal payments made from Principal Income:</t>
  </si>
  <si>
    <t>Opening Cash</t>
  </si>
  <si>
    <t>Total Principal received</t>
  </si>
  <si>
    <t>Substitutions</t>
  </si>
  <si>
    <t>Mandatory Further Advances</t>
  </si>
  <si>
    <t>Discretionary Further Advances</t>
  </si>
  <si>
    <t>Cancellation of A Notes</t>
  </si>
  <si>
    <t>A Note repayments</t>
  </si>
  <si>
    <t>B Note repayments</t>
  </si>
  <si>
    <t>C Note repayments</t>
  </si>
  <si>
    <t>Total payments to be made this quarter</t>
  </si>
  <si>
    <t>Total closing cash balance</t>
  </si>
  <si>
    <t>Available Credit Enhancement</t>
  </si>
  <si>
    <t>First Loss Fund Analysis</t>
  </si>
  <si>
    <t>First Loss Fund at Closing</t>
  </si>
  <si>
    <t>Last Quarter closing First Loss Fund balance</t>
  </si>
  <si>
    <t>Replenishments</t>
  </si>
  <si>
    <t>Drawing this quarter / Release of Stamp Duty Reserve</t>
  </si>
  <si>
    <t>Drawing used to pay</t>
  </si>
  <si>
    <t>A Note Interest</t>
  </si>
  <si>
    <t>Closing First Loss Fund Balance</t>
  </si>
  <si>
    <t>Requirement</t>
  </si>
  <si>
    <t>Build up - Prior periods</t>
  </si>
  <si>
    <t>Build up - this  period</t>
  </si>
  <si>
    <t>Requirement Outstanding</t>
  </si>
  <si>
    <t>Principal Deficiency Ledger (PDL)</t>
  </si>
  <si>
    <t>Opening PDL Balance</t>
  </si>
  <si>
    <t>Total PDL balance</t>
  </si>
  <si>
    <t>PDL top up from Revenue income</t>
  </si>
  <si>
    <t>Closing PDL Balance</t>
  </si>
  <si>
    <t>Over Collateralisation</t>
  </si>
  <si>
    <t>Current Principal Balance Outstanding, Accrued Arrears  (£'000)</t>
  </si>
  <si>
    <t>Principal Cash (£'000)</t>
  </si>
  <si>
    <t>Discount on Substitution</t>
  </si>
  <si>
    <t>PDL Replenishment</t>
  </si>
  <si>
    <t>Total Collateralisation</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</si>
  <si>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</si>
  <si>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</si>
  <si>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</si>
  <si>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</si>
  <si>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</si>
  <si>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</si>
  <si>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</si>
  <si>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</si>
  <si>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</si>
  <si>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Cover Ratio for Class A Notes (cumulative)</t>
  </si>
  <si>
    <t>Cover Ratio for Class B Notes (at last Interest Payment Date)</t>
  </si>
  <si>
    <t>Cover Ratio for Class B Notes (cumulative)</t>
  </si>
  <si>
    <t>Cover Ratio for Class C Notes (at last Interest Payment Date)</t>
  </si>
  <si>
    <t>Cover Ratio for Class C Notes (cumulative)</t>
  </si>
  <si>
    <t>Collateral Level Data</t>
  </si>
  <si>
    <t>Original Weighted Average Yield</t>
  </si>
  <si>
    <t>Original Weighted Note Coupon</t>
  </si>
  <si>
    <t xml:space="preserve">Original Spread </t>
  </si>
  <si>
    <t>Current Weighted Average Yield</t>
  </si>
  <si>
    <t>Current Weighted Note Coupon</t>
  </si>
  <si>
    <t xml:space="preserve">Current Spread </t>
  </si>
  <si>
    <t>Stated Maturity (Car loans)</t>
  </si>
  <si>
    <t>Stated Maturity  (Secured Loans)</t>
  </si>
  <si>
    <t>Original Weighted Average Maturity</t>
  </si>
  <si>
    <t>Current Weighted Average Maturity</t>
  </si>
  <si>
    <t>Quarterly Prepayment Rate</t>
  </si>
  <si>
    <t>Delinquency Status</t>
  </si>
  <si>
    <t>Enforcements in Progress (Car loans)</t>
  </si>
  <si>
    <t>Enforcements Completed (Car loans)</t>
  </si>
  <si>
    <t>Enforcements in Progress (Secured loans)</t>
  </si>
  <si>
    <t>Enforcements Completed (Secured loans)</t>
  </si>
  <si>
    <t>Aggregate Principal Balance of Repurchased Loans</t>
  </si>
  <si>
    <t>Aggregate Balance of Substituted Loans</t>
  </si>
  <si>
    <t>Principal Losses</t>
  </si>
  <si>
    <t>Agg Loan Principal Losses (during related Collection Period for car loans)</t>
  </si>
  <si>
    <t>Cumulative Principal Losses (since closing date for car loans)</t>
  </si>
  <si>
    <t>Recoveries</t>
  </si>
  <si>
    <t>Agg Loan Principal Losses (during related Collection Period for secured loans)</t>
  </si>
  <si>
    <t>Cumulative Principal Losses (since closing date for secured loans)</t>
  </si>
  <si>
    <t>Properties Sold</t>
  </si>
  <si>
    <t>Properties Sold by Mortgagee</t>
  </si>
  <si>
    <t>Average Arrears @ Redemption date</t>
  </si>
  <si>
    <t>Average Days between Possession &amp; Redemption</t>
  </si>
  <si>
    <t>Average Sale Price/Original Principal Balance</t>
  </si>
  <si>
    <t>Vehicles Sold</t>
  </si>
  <si>
    <t>Vehicles Sold by the administrator</t>
  </si>
  <si>
    <t>Average Days between Possession &amp; Sale</t>
  </si>
  <si>
    <t>Delinquency Summary - Secured Loans</t>
  </si>
  <si>
    <t>Performing</t>
  </si>
  <si>
    <t>&gt;1&lt;=2 Months</t>
  </si>
  <si>
    <t>&gt;2&lt;=3 Months</t>
  </si>
  <si>
    <t>&gt;3 Months</t>
  </si>
  <si>
    <t>Delinquency Summary - Cars</t>
  </si>
  <si>
    <t>Total Principal Balance</t>
  </si>
  <si>
    <t>Contact Name/Address</t>
  </si>
  <si>
    <t>John Harvey, St. Catherines Court, Herbert Road, Solihull, West Midlands, B91 3QE</t>
  </si>
  <si>
    <t>Jimmy Giles, St. Catherines Court, Herbert Road, Solihull, West Midlands, B91 3QE</t>
  </si>
  <si>
    <t>Pool</t>
  </si>
  <si>
    <t>Factor</t>
  </si>
  <si>
    <t>At Closing</t>
  </si>
  <si>
    <t>Class A Notes</t>
  </si>
  <si>
    <t>Aaa</t>
  </si>
  <si>
    <t>AAA</t>
  </si>
  <si>
    <t>ISIN XS0120561252</t>
  </si>
  <si>
    <t>€ 285,000</t>
  </si>
  <si>
    <t>€  285,000</t>
  </si>
  <si>
    <t>34 bp</t>
  </si>
  <si>
    <t>N/A</t>
  </si>
  <si>
    <t>November 2004</t>
  </si>
  <si>
    <t>68 bp</t>
  </si>
  <si>
    <t>Secured Loans (£'000)</t>
  </si>
  <si>
    <t xml:space="preserve">Sterling Equivalent </t>
  </si>
  <si>
    <t>Last Quarter Balance</t>
  </si>
  <si>
    <t>Cars (£'000)</t>
  </si>
  <si>
    <t>Tel.</t>
  </si>
  <si>
    <t>0121 712 3894</t>
  </si>
  <si>
    <t>0121 712 2315</t>
  </si>
  <si>
    <t>Class B Notes</t>
  </si>
  <si>
    <t>A2</t>
  </si>
  <si>
    <t>A</t>
  </si>
  <si>
    <t>ISIN XS0120560957</t>
  </si>
  <si>
    <t>80 bp</t>
  </si>
  <si>
    <t>160 bp</t>
  </si>
  <si>
    <t>This Quarter Redemptions and Repayments</t>
  </si>
  <si>
    <t>Total</t>
  </si>
  <si>
    <t>Principal (£'000)</t>
  </si>
  <si>
    <t>E-mail</t>
  </si>
  <si>
    <t>jharvey@paragon-group.co.uk</t>
  </si>
  <si>
    <t>jgiles@paragon-group.co.uk</t>
  </si>
  <si>
    <t>PCF</t>
  </si>
  <si>
    <t>Class C Notes</t>
  </si>
  <si>
    <t>Baa2</t>
  </si>
  <si>
    <t>BBB</t>
  </si>
  <si>
    <t>ISIN XS0120560791</t>
  </si>
  <si>
    <t>180 bp</t>
  </si>
  <si>
    <t>360 bp</t>
  </si>
  <si>
    <t>Additions this quarter</t>
  </si>
  <si>
    <t>DFA's</t>
  </si>
  <si>
    <t>No.</t>
  </si>
  <si>
    <t>PPF</t>
  </si>
  <si>
    <t>%</t>
  </si>
  <si>
    <t>Repurchases this quarter</t>
  </si>
  <si>
    <t>MFA's</t>
  </si>
  <si>
    <t>October 2009</t>
  </si>
  <si>
    <t>October 2029</t>
  </si>
  <si>
    <t>£'000 Value</t>
  </si>
  <si>
    <t>Nil</t>
  </si>
  <si>
    <t>£'000 Principal</t>
  </si>
  <si>
    <t>=</t>
  </si>
  <si>
    <t>PASF 1 PLC</t>
  </si>
  <si>
    <t>23 November 2000</t>
  </si>
  <si>
    <t>Quarterly</t>
  </si>
  <si>
    <t>ACTUAL/360</t>
  </si>
  <si>
    <t>ACTUAL/365</t>
  </si>
  <si>
    <t>Current Principal Outstanding</t>
  </si>
  <si>
    <t>Revenue (£'000)</t>
  </si>
  <si>
    <t>n/a</t>
  </si>
  <si>
    <t>x</t>
  </si>
  <si>
    <t>PASF1 INVESTOR REPOT QUARTER ENDING APRIL 2001</t>
  </si>
  <si>
    <t xml:space="preserve">Swaps </t>
  </si>
  <si>
    <t xml:space="preserve">SWAP termination payments / Floor Payments  </t>
  </si>
  <si>
    <t>PASF1 INVESTOR REPORT QUARTER ENDING JULY 2001</t>
  </si>
  <si>
    <t>PASF1 INVESTOR REPORT QUARTER ENDING OCTOBER 2001</t>
  </si>
  <si>
    <t>Quarterly Prepayment Rate for Car Loans</t>
  </si>
  <si>
    <t>Life Time Prepayment Rate for Car Loans</t>
  </si>
  <si>
    <t>Quarterly Prepayment Rate for Secured Loans</t>
  </si>
  <si>
    <t>Life Time Prepayment Rate for Secured Loans</t>
  </si>
  <si>
    <t>PASF1 INVESTOR REPORT QUARTER ENDING APRIL 2002</t>
  </si>
  <si>
    <t>PASF1 INVESTOR REPORT QUARTER ENDING JULY 2002</t>
  </si>
  <si>
    <t>PASF1 INVESTOR REPORT QUARTER ENDING OCTOBER 2002</t>
  </si>
  <si>
    <t>PASF1 INVESTOR REPORT QUARTER ENDING JANUARY 2003</t>
  </si>
  <si>
    <t>PASF1 INVESTOR REPORT QUARTER ENDING APRIL 2003</t>
  </si>
  <si>
    <t>PASF1 INVESTOR REPORT QUARTER ENDING JANUARY 2002</t>
  </si>
  <si>
    <t>N.B. This data fact sheet and its notes can only be a summary of certain features of the bonds and their structure. No representation can be made that the information herein is accurate or complete and no liability is accepted therefor. Reference should b</t>
  </si>
  <si>
    <t>documentation for a full description of the bonds and their structure. This data fact sheet and its notes are for information purposes only and are not intended as an offer or invitation with respect to the purchase or sale of any security. Reliance shoul</t>
  </si>
  <si>
    <t>PASF1 INVESTOR REPORT QUARTER ENDING JULY 2003</t>
  </si>
  <si>
    <t>PASF1 INVESTOR REPORT QUARTER ENDING OCTOBER 2003</t>
  </si>
  <si>
    <t>PASF1 INVESTOR REPORT QUARTER ENDING JANUARY 2004</t>
  </si>
  <si>
    <t>ACTUAL/366</t>
  </si>
  <si>
    <t>PASF1 INVESTOR REPORT QUARTER ENDING APRIL 2004</t>
  </si>
  <si>
    <t>PASF1 INVESTOR REPORT QUARTER ENDING JULY 2004</t>
  </si>
  <si>
    <t>PASF1 INVESTOR REPORT QUARTER ENDING OCTOBER 2004</t>
  </si>
  <si>
    <t>Release of the First Fund following repayment of the Notes</t>
  </si>
  <si>
    <t>Repayment of the First Loss Fund</t>
  </si>
  <si>
    <t>Release of the Spread trap</t>
  </si>
  <si>
    <t>Principal cash / asset sale proceeds</t>
  </si>
  <si>
    <t>Repayment of Notes</t>
  </si>
  <si>
    <t>Total principal cash received</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</si>
</sst>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0"/>
    <numFmt numFmtId="173" formatCode="[$£-809]#,##0.00"/>
    <numFmt numFmtId="174" formatCode="#,##0.0000"/>
    <numFmt numFmtId="175" formatCode="dd/mm"/>
    <numFmt numFmtId="176" formatCode="0.00000%"/>
    <numFmt numFmtId="177" formatCode=";;;"/>
    <numFmt numFmtId="178" formatCode="0.0%"/>
  </numFmts>
  <fonts count="27">
    <font>
      <sz val="12"/>
      <name val="Arial"/>
      <family val="0"/>
    </font>
    <font>
      <b/>
      <sz val="10"/>
      <name val="Arial"/>
      <family val="0"/>
    </font>
    <font>
      <i/>
      <sz val="10"/>
      <name val="Arial"/>
      <family val="0"/>
    </font>
    <font>
      <b/>
      <i/>
      <sz val="10"/>
      <name val="Arial"/>
      <family val="0"/>
    </font>
    <font>
      <sz val="12"/>
      <name val="Times New Roman"/>
      <family val="0"/>
    </font>
    <font>
      <b/>
      <u val="single"/>
      <sz val="16"/>
      <color indexed="12"/>
      <name val="Times New Roman"/>
      <family val="0"/>
    </font>
    <font>
      <b/>
      <u val="single"/>
      <sz val="12"/>
      <name val="Times New Roman"/>
      <family val="0"/>
    </font>
    <font>
      <u val="single"/>
      <sz val="12"/>
      <name val="Times New Roman"/>
      <family val="0"/>
    </font>
    <font>
      <b/>
      <sz val="12"/>
      <color indexed="29"/>
      <name val="Times New Roman"/>
      <family val="0"/>
    </font>
    <font>
      <b/>
      <i/>
      <sz val="8"/>
      <name val="Times New Roman"/>
      <family val="0"/>
    </font>
    <font>
      <b/>
      <i/>
      <sz val="12"/>
      <name val="Times New Roman"/>
      <family val="0"/>
    </font>
    <font>
      <sz val="12"/>
      <name val="Arial MT"/>
      <family val="0"/>
    </font>
    <font>
      <b/>
      <sz val="12"/>
      <name val="Times New Roman"/>
      <family val="0"/>
    </font>
    <font>
      <b/>
      <sz val="12"/>
      <color indexed="12"/>
      <name val="Times New Roman"/>
      <family val="0"/>
    </font>
    <font>
      <sz val="12"/>
      <color indexed="12"/>
      <name val="Times New Roman"/>
      <family val="0"/>
    </font>
    <font>
      <b/>
      <u val="single"/>
      <sz val="12"/>
      <color indexed="12"/>
      <name val="Times New Roman"/>
      <family val="0"/>
    </font>
    <font>
      <sz val="12"/>
      <color indexed="8"/>
      <name val="Times New Roman"/>
      <family val="0"/>
    </font>
    <font>
      <b/>
      <sz val="12"/>
      <color indexed="12"/>
      <name val="Arial MT"/>
      <family val="0"/>
    </font>
    <font>
      <b/>
      <sz val="12"/>
      <color indexed="8"/>
      <name val="Times New Roman"/>
      <family val="0"/>
    </font>
    <font>
      <b/>
      <sz val="12"/>
      <color indexed="12"/>
      <name val="Arial"/>
      <family val="0"/>
    </font>
    <font>
      <sz val="12"/>
      <color indexed="12"/>
      <name val="Arial"/>
      <family val="0"/>
    </font>
    <font>
      <b/>
      <sz val="12"/>
      <name val="Arial"/>
      <family val="0"/>
    </font>
    <font>
      <b/>
      <sz val="12"/>
      <color indexed="53"/>
      <name val="Times New Roman"/>
      <family val="1"/>
    </font>
    <font>
      <sz val="12"/>
      <color indexed="53"/>
      <name val="Times New Roman"/>
      <family val="0"/>
    </font>
    <font>
      <sz val="12"/>
      <color indexed="53"/>
      <name val="Arial MT"/>
      <family val="0"/>
    </font>
    <font>
      <sz val="12"/>
      <color indexed="53"/>
      <name val="Arial"/>
      <family val="0"/>
    </font>
    <font>
      <b/>
      <u val="single"/>
      <sz val="12"/>
      <color indexed="53"/>
      <name val="Times New Roman"/>
      <family val="1"/>
    </font>
  </fonts>
  <fills count="4">
    <fill>
      <patternFill/>
    </fill>
    <fill>
      <patternFill patternType="gray125"/>
    </fill>
    <fill>
      <patternFill patternType="solid">
        <fgColor indexed="26"/>
        <bgColor indexed="64"/>
      </patternFill>
    </fill>
    <fill>
      <patternFill patternType="solid">
        <fgColor indexed="26"/>
        <bgColor indexed="64"/>
      </patternFill>
    </fill>
  </fills>
  <borders count="12">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75">
    <xf numFmtId="0" fontId="0" fillId="0" borderId="0" xfId="0" applyAlignment="1">
      <alignment/>
    </xf>
    <xf numFmtId="0" fontId="0" fillId="0" borderId="0" xfId="0" applyNumberFormat="1" applyFont="1" applyAlignment="1">
      <alignment/>
    </xf>
    <xf numFmtId="0" fontId="4" fillId="2" borderId="1" xfId="0" applyNumberFormat="1" applyFont="1" applyFill="1" applyAlignment="1">
      <alignment/>
    </xf>
    <xf numFmtId="0" fontId="5" fillId="2" borderId="2" xfId="0" applyNumberFormat="1" applyFont="1" applyFill="1" applyAlignment="1">
      <alignment/>
    </xf>
    <xf numFmtId="0" fontId="6" fillId="2" borderId="2" xfId="0" applyNumberFormat="1" applyFont="1" applyFill="1" applyAlignment="1">
      <alignment/>
    </xf>
    <xf numFmtId="0" fontId="4" fillId="2" borderId="2" xfId="0" applyNumberFormat="1" applyFont="1" applyFill="1" applyAlignment="1">
      <alignment/>
    </xf>
    <xf numFmtId="0" fontId="0" fillId="0" borderId="3" xfId="0" applyNumberFormat="1" applyAlignment="1">
      <alignment/>
    </xf>
    <xf numFmtId="0" fontId="4" fillId="2" borderId="3" xfId="0" applyNumberFormat="1" applyFont="1" applyFill="1" applyAlignment="1">
      <alignment/>
    </xf>
    <xf numFmtId="0" fontId="7" fillId="2" borderId="0" xfId="0" applyNumberFormat="1" applyFont="1" applyFill="1" applyAlignment="1">
      <alignment/>
    </xf>
    <xf numFmtId="0" fontId="4" fillId="2" borderId="0" xfId="0" applyNumberFormat="1" applyFont="1" applyFill="1" applyAlignment="1">
      <alignment/>
    </xf>
    <xf numFmtId="0" fontId="4" fillId="2" borderId="3" xfId="0" applyNumberFormat="1" applyFont="1" applyFill="1" applyAlignment="1">
      <alignment horizontal="center"/>
    </xf>
    <xf numFmtId="0" fontId="8" fillId="2" borderId="0" xfId="0" applyNumberFormat="1" applyFont="1" applyFill="1" applyAlignment="1">
      <alignment/>
    </xf>
    <xf numFmtId="0" fontId="9" fillId="2" borderId="0" xfId="0" applyNumberFormat="1" applyFont="1" applyFill="1" applyAlignment="1">
      <alignment/>
    </xf>
    <xf numFmtId="0" fontId="10" fillId="2" borderId="0" xfId="0" applyNumberFormat="1" applyFont="1" applyFill="1" applyAlignment="1">
      <alignment/>
    </xf>
    <xf numFmtId="0" fontId="11" fillId="2" borderId="0" xfId="0" applyNumberFormat="1" applyFont="1" applyFill="1" applyAlignment="1">
      <alignment/>
    </xf>
    <xf numFmtId="0" fontId="12" fillId="2" borderId="0" xfId="0" applyNumberFormat="1" applyFont="1" applyFill="1" applyAlignment="1">
      <alignment/>
    </xf>
    <xf numFmtId="15" fontId="4" fillId="2" borderId="0" xfId="0" applyNumberFormat="1" applyFont="1" applyFill="1" applyAlignment="1">
      <alignment/>
    </xf>
    <xf numFmtId="0" fontId="13" fillId="2" borderId="0" xfId="0" applyNumberFormat="1" applyFont="1" applyFill="1" applyAlignment="1">
      <alignment/>
    </xf>
    <xf numFmtId="0" fontId="14" fillId="2" borderId="0" xfId="0" applyNumberFormat="1" applyFont="1" applyFill="1" applyAlignment="1">
      <alignment/>
    </xf>
    <xf numFmtId="0" fontId="15" fillId="2" borderId="0" xfId="0" applyNumberFormat="1" applyFont="1" applyFill="1" applyAlignment="1">
      <alignment horizontal="center" wrapText="1"/>
    </xf>
    <xf numFmtId="0" fontId="13" fillId="2" borderId="0" xfId="0" applyNumberFormat="1" applyFont="1" applyFill="1" applyAlignment="1">
      <alignment horizontal="center"/>
    </xf>
    <xf numFmtId="9" fontId="13" fillId="2" borderId="0" xfId="0" applyNumberFormat="1" applyFont="1" applyFill="1" applyAlignment="1">
      <alignment horizontal="center"/>
    </xf>
    <xf numFmtId="15" fontId="13" fillId="2" borderId="0" xfId="0" applyNumberFormat="1" applyFont="1" applyFill="1" applyAlignment="1">
      <alignment horizontal="center"/>
    </xf>
    <xf numFmtId="0" fontId="4" fillId="2" borderId="0" xfId="0" applyNumberFormat="1" applyFont="1" applyFill="1" applyAlignment="1">
      <alignment horizontal="center"/>
    </xf>
    <xf numFmtId="0" fontId="6" fillId="2" borderId="0" xfId="0" applyNumberFormat="1" applyFont="1" applyFill="1" applyAlignment="1">
      <alignment/>
    </xf>
    <xf numFmtId="0" fontId="4" fillId="2" borderId="0" xfId="0" applyNumberFormat="1" applyFont="1" applyFill="1" applyAlignment="1">
      <alignment horizontal="right"/>
    </xf>
    <xf numFmtId="0" fontId="8" fillId="2" borderId="0" xfId="0" applyNumberFormat="1" applyFont="1" applyFill="1" applyAlignment="1">
      <alignment horizontal="center" wrapText="1"/>
    </xf>
    <xf numFmtId="0" fontId="4" fillId="2" borderId="0" xfId="0" applyNumberFormat="1" applyFont="1" applyFill="1" applyAlignment="1">
      <alignment horizontal="center" wrapText="1"/>
    </xf>
    <xf numFmtId="0" fontId="4" fillId="2" borderId="4" xfId="0" applyNumberFormat="1" applyFont="1" applyFill="1" applyAlignment="1">
      <alignment/>
    </xf>
    <xf numFmtId="0" fontId="4" fillId="2" borderId="5" xfId="0" applyNumberFormat="1" applyFont="1" applyFill="1" applyAlignment="1">
      <alignment/>
    </xf>
    <xf numFmtId="0" fontId="4" fillId="2" borderId="5" xfId="0" applyNumberFormat="1" applyFont="1" applyFill="1" applyAlignment="1">
      <alignment horizontal="center" wrapText="1"/>
    </xf>
    <xf numFmtId="0" fontId="11" fillId="2" borderId="5" xfId="0" applyNumberFormat="1" applyFont="1" applyFill="1" applyAlignment="1">
      <alignment/>
    </xf>
    <xf numFmtId="0" fontId="13" fillId="2" borderId="5" xfId="0" applyNumberFormat="1" applyFont="1" applyFill="1" applyAlignment="1">
      <alignment/>
    </xf>
    <xf numFmtId="0" fontId="16" fillId="2" borderId="5" xfId="0" applyNumberFormat="1" applyFont="1" applyFill="1" applyAlignment="1">
      <alignment horizontal="center" wrapText="1"/>
    </xf>
    <xf numFmtId="0" fontId="8" fillId="2" borderId="5" xfId="0" applyNumberFormat="1" applyFont="1" applyFill="1" applyAlignment="1">
      <alignment horizontal="center" wrapText="1"/>
    </xf>
    <xf numFmtId="0" fontId="13" fillId="2" borderId="5" xfId="0" applyNumberFormat="1" applyFont="1" applyFill="1" applyAlignment="1">
      <alignment horizontal="center" wrapText="1"/>
    </xf>
    <xf numFmtId="0" fontId="17" fillId="2" borderId="5" xfId="0" applyNumberFormat="1" applyFont="1" applyFill="1" applyAlignment="1">
      <alignment/>
    </xf>
    <xf numFmtId="0" fontId="4" fillId="2" borderId="5" xfId="0" applyNumberFormat="1" applyFont="1" applyFill="1" applyAlignment="1">
      <alignment horizontal="center"/>
    </xf>
    <xf numFmtId="172" fontId="4" fillId="2" borderId="5" xfId="0" applyNumberFormat="1" applyFont="1" applyFill="1" applyAlignment="1">
      <alignment horizontal="center"/>
    </xf>
    <xf numFmtId="172" fontId="4" fillId="2" borderId="5" xfId="0" applyNumberFormat="1" applyFont="1" applyFill="1" applyAlignment="1">
      <alignment/>
    </xf>
    <xf numFmtId="173" fontId="4" fillId="2" borderId="5" xfId="0" applyNumberFormat="1" applyFont="1" applyFill="1" applyAlignment="1">
      <alignment/>
    </xf>
    <xf numFmtId="174" fontId="4" fillId="2" borderId="5" xfId="0" applyNumberFormat="1" applyFont="1" applyFill="1" applyAlignment="1">
      <alignment/>
    </xf>
    <xf numFmtId="175" fontId="4" fillId="2" borderId="5" xfId="0" applyNumberFormat="1" applyFont="1" applyFill="1" applyAlignment="1">
      <alignment horizontal="center"/>
    </xf>
    <xf numFmtId="0" fontId="13" fillId="2" borderId="4" xfId="0" applyNumberFormat="1" applyFont="1" applyFill="1" applyAlignment="1">
      <alignment/>
    </xf>
    <xf numFmtId="174" fontId="16" fillId="2" borderId="5" xfId="0" applyNumberFormat="1" applyFont="1" applyFill="1" applyAlignment="1">
      <alignment/>
    </xf>
    <xf numFmtId="172" fontId="13" fillId="2" borderId="5" xfId="0" applyNumberFormat="1" applyFont="1" applyFill="1" applyAlignment="1">
      <alignment horizontal="center"/>
    </xf>
    <xf numFmtId="172" fontId="13" fillId="2" borderId="5" xfId="0" applyNumberFormat="1" applyFont="1" applyFill="1" applyAlignment="1">
      <alignment/>
    </xf>
    <xf numFmtId="176" fontId="0" fillId="2" borderId="5" xfId="0" applyNumberFormat="1" applyFont="1" applyFill="1" applyAlignment="1">
      <alignment/>
    </xf>
    <xf numFmtId="176" fontId="4" fillId="2" borderId="5" xfId="0" applyNumberFormat="1" applyFont="1" applyFill="1" applyAlignment="1">
      <alignment horizontal="center"/>
    </xf>
    <xf numFmtId="177" fontId="4" fillId="2" borderId="5" xfId="0" applyNumberFormat="1" applyFont="1" applyFill="1" applyAlignment="1">
      <alignment horizontal="center"/>
    </xf>
    <xf numFmtId="176" fontId="4" fillId="2" borderId="5" xfId="0" applyNumberFormat="1" applyFont="1" applyFill="1" applyAlignment="1">
      <alignment/>
    </xf>
    <xf numFmtId="10" fontId="4" fillId="2" borderId="5" xfId="0" applyNumberFormat="1" applyFont="1" applyFill="1" applyAlignment="1">
      <alignment horizontal="center"/>
    </xf>
    <xf numFmtId="15" fontId="4" fillId="2" borderId="5" xfId="0" applyNumberFormat="1" applyFont="1" applyFill="1" applyAlignment="1">
      <alignment horizontal="center"/>
    </xf>
    <xf numFmtId="0" fontId="4" fillId="2" borderId="5" xfId="0" applyNumberFormat="1" applyFont="1" applyFill="1" applyAlignment="1">
      <alignment horizontal="right"/>
    </xf>
    <xf numFmtId="4" fontId="4" fillId="2" borderId="5" xfId="0" applyNumberFormat="1" applyFont="1" applyFill="1" applyAlignment="1">
      <alignment horizontal="center"/>
    </xf>
    <xf numFmtId="15" fontId="13" fillId="2" borderId="5" xfId="0" applyNumberFormat="1" applyFont="1" applyFill="1" applyAlignment="1">
      <alignment horizontal="center"/>
    </xf>
    <xf numFmtId="15" fontId="13" fillId="2" borderId="5" xfId="0" applyNumberFormat="1" applyFont="1" applyFill="1" applyAlignment="1">
      <alignment horizontal="center"/>
    </xf>
    <xf numFmtId="15" fontId="4" fillId="2" borderId="5" xfId="0" applyNumberFormat="1" applyFont="1" applyFill="1" applyAlignment="1">
      <alignment/>
    </xf>
    <xf numFmtId="15" fontId="16" fillId="2" borderId="5" xfId="0" applyNumberFormat="1" applyFont="1" applyFill="1" applyAlignment="1">
      <alignment horizontal="center"/>
    </xf>
    <xf numFmtId="15" fontId="16" fillId="2" borderId="5" xfId="0" applyNumberFormat="1" applyFont="1" applyFill="1" applyAlignment="1">
      <alignment horizontal="center"/>
    </xf>
    <xf numFmtId="0" fontId="4" fillId="2" borderId="5" xfId="0" applyNumberFormat="1" applyFont="1" applyFill="1" applyAlignment="1">
      <alignment horizontal="right"/>
    </xf>
    <xf numFmtId="0" fontId="4" fillId="2" borderId="0" xfId="0" applyNumberFormat="1" applyFont="1" applyFill="1" applyAlignment="1">
      <alignment horizontal="right"/>
    </xf>
    <xf numFmtId="4" fontId="4" fillId="2" borderId="2" xfId="0" applyNumberFormat="1" applyFont="1" applyFill="1" applyAlignment="1">
      <alignment horizontal="right"/>
    </xf>
    <xf numFmtId="0" fontId="15" fillId="2" borderId="0" xfId="0" applyNumberFormat="1" applyFont="1" applyFill="1" applyAlignment="1">
      <alignment/>
    </xf>
    <xf numFmtId="4" fontId="4" fillId="2" borderId="0" xfId="0" applyNumberFormat="1" applyFont="1" applyFill="1" applyAlignment="1">
      <alignment horizontal="right"/>
    </xf>
    <xf numFmtId="3" fontId="4" fillId="2" borderId="5" xfId="0" applyNumberFormat="1" applyFont="1" applyFill="1" applyAlignment="1">
      <alignment/>
    </xf>
    <xf numFmtId="3" fontId="16" fillId="2" borderId="5" xfId="0" applyNumberFormat="1" applyFont="1" applyFill="1" applyAlignment="1">
      <alignment horizontal="right"/>
    </xf>
    <xf numFmtId="3" fontId="16" fillId="2" borderId="5" xfId="0" applyNumberFormat="1" applyFont="1" applyFill="1" applyAlignment="1">
      <alignment/>
    </xf>
    <xf numFmtId="3" fontId="4" fillId="2" borderId="0" xfId="0" applyNumberFormat="1" applyFont="1" applyFill="1" applyAlignment="1">
      <alignment/>
    </xf>
    <xf numFmtId="10" fontId="4" fillId="2" borderId="0" xfId="0" applyNumberFormat="1" applyFont="1" applyFill="1" applyAlignment="1">
      <alignment/>
    </xf>
    <xf numFmtId="3" fontId="16" fillId="2" borderId="0" xfId="0" applyNumberFormat="1" applyFont="1" applyFill="1" applyAlignment="1">
      <alignment/>
    </xf>
    <xf numFmtId="0" fontId="0" fillId="2" borderId="5" xfId="0" applyNumberFormat="1" applyFont="1" applyFill="1" applyAlignment="1">
      <alignment/>
    </xf>
    <xf numFmtId="0" fontId="6" fillId="2" borderId="5" xfId="0" applyNumberFormat="1" applyFont="1" applyFill="1" applyAlignment="1">
      <alignment/>
    </xf>
    <xf numFmtId="4" fontId="16" fillId="2" borderId="5" xfId="0" applyNumberFormat="1" applyFont="1" applyFill="1" applyAlignment="1">
      <alignment horizontal="right"/>
    </xf>
    <xf numFmtId="0" fontId="16" fillId="2" borderId="5" xfId="0" applyNumberFormat="1" applyFont="1" applyFill="1" applyAlignment="1">
      <alignment/>
    </xf>
    <xf numFmtId="0" fontId="0" fillId="2" borderId="4" xfId="0" applyNumberFormat="1" applyFont="1" applyFill="1" applyAlignment="1">
      <alignment/>
    </xf>
    <xf numFmtId="3" fontId="4" fillId="2" borderId="2" xfId="0" applyNumberFormat="1" applyFont="1" applyFill="1" applyAlignment="1">
      <alignment/>
    </xf>
    <xf numFmtId="0" fontId="4" fillId="3" borderId="3" xfId="0" applyNumberFormat="1" applyFont="1" applyFill="1" applyAlignment="1">
      <alignment/>
    </xf>
    <xf numFmtId="0" fontId="4" fillId="3" borderId="0" xfId="0" applyNumberFormat="1" applyFont="1" applyFill="1" applyAlignment="1">
      <alignment/>
    </xf>
    <xf numFmtId="4" fontId="4" fillId="3" borderId="0" xfId="0" applyNumberFormat="1" applyFont="1" applyFill="1" applyAlignment="1">
      <alignment horizontal="right"/>
    </xf>
    <xf numFmtId="0" fontId="15" fillId="3" borderId="0" xfId="0" applyNumberFormat="1" applyFont="1" applyFill="1" applyAlignment="1">
      <alignment/>
    </xf>
    <xf numFmtId="0" fontId="7" fillId="3" borderId="0" xfId="0" applyNumberFormat="1" applyFont="1" applyFill="1" applyAlignment="1">
      <alignment/>
    </xf>
    <xf numFmtId="4" fontId="4" fillId="2" borderId="5" xfId="0" applyNumberFormat="1" applyFont="1" applyFill="1" applyAlignment="1">
      <alignment horizontal="right"/>
    </xf>
    <xf numFmtId="10" fontId="4" fillId="2" borderId="5" xfId="0" applyNumberFormat="1" applyFont="1" applyFill="1" applyAlignment="1">
      <alignment/>
    </xf>
    <xf numFmtId="3" fontId="4" fillId="2" borderId="5" xfId="0" applyNumberFormat="1" applyFont="1" applyFill="1" applyAlignment="1">
      <alignment horizontal="right"/>
    </xf>
    <xf numFmtId="4" fontId="16" fillId="2" borderId="0" xfId="0" applyNumberFormat="1" applyFont="1" applyFill="1" applyAlignment="1">
      <alignment horizontal="right"/>
    </xf>
    <xf numFmtId="15" fontId="18" fillId="2" borderId="5" xfId="0" applyNumberFormat="1" applyFont="1" applyFill="1" applyAlignment="1">
      <alignment horizontal="center"/>
    </xf>
    <xf numFmtId="0" fontId="12" fillId="2" borderId="5" xfId="0" applyNumberFormat="1" applyFont="1" applyFill="1" applyAlignment="1">
      <alignment/>
    </xf>
    <xf numFmtId="0" fontId="4" fillId="2" borderId="0" xfId="0" applyNumberFormat="1" applyFont="1" applyFill="1" applyAlignment="1">
      <alignment/>
    </xf>
    <xf numFmtId="0" fontId="16" fillId="2" borderId="5" xfId="0" applyNumberFormat="1" applyFont="1" applyFill="1" applyAlignment="1">
      <alignment horizontal="right"/>
    </xf>
    <xf numFmtId="2" fontId="16" fillId="2" borderId="5" xfId="0" applyNumberFormat="1" applyFont="1" applyFill="1" applyAlignment="1">
      <alignment horizontal="right"/>
    </xf>
    <xf numFmtId="0" fontId="11" fillId="2" borderId="2" xfId="0" applyNumberFormat="1" applyFont="1" applyFill="1" applyAlignment="1">
      <alignment/>
    </xf>
    <xf numFmtId="0" fontId="16" fillId="2" borderId="3" xfId="0" applyNumberFormat="1" applyFont="1" applyFill="1" applyAlignment="1">
      <alignment/>
    </xf>
    <xf numFmtId="15" fontId="13" fillId="2" borderId="0" xfId="0" applyNumberFormat="1" applyFont="1" applyFill="1" applyAlignment="1">
      <alignment horizontal="centerContinuous"/>
    </xf>
    <xf numFmtId="15" fontId="13" fillId="2" borderId="0" xfId="0" applyNumberFormat="1" applyFont="1" applyFill="1" applyAlignment="1">
      <alignment horizontal="left"/>
    </xf>
    <xf numFmtId="0" fontId="16" fillId="2" borderId="4" xfId="0" applyNumberFormat="1" applyFont="1" applyFill="1" applyAlignment="1">
      <alignment/>
    </xf>
    <xf numFmtId="15" fontId="18" fillId="2" borderId="5" xfId="0" applyNumberFormat="1" applyFont="1" applyFill="1" applyAlignment="1">
      <alignment horizontal="centerContinuous"/>
    </xf>
    <xf numFmtId="10" fontId="16" fillId="2" borderId="5" xfId="0" applyNumberFormat="1" applyFont="1" applyFill="1" applyAlignment="1">
      <alignment horizontal="center"/>
    </xf>
    <xf numFmtId="10" fontId="16" fillId="2" borderId="5" xfId="0" applyNumberFormat="1" applyFont="1" applyFill="1" applyAlignment="1">
      <alignment horizontal="centerContinuous"/>
    </xf>
    <xf numFmtId="0" fontId="16" fillId="2" borderId="5" xfId="0" applyNumberFormat="1" applyFont="1" applyFill="1" applyAlignment="1">
      <alignment horizontal="centerContinuous"/>
    </xf>
    <xf numFmtId="4" fontId="16" fillId="2" borderId="5" xfId="0" applyNumberFormat="1" applyFont="1" applyFill="1" applyAlignment="1">
      <alignment horizontal="center"/>
    </xf>
    <xf numFmtId="2" fontId="16" fillId="2" borderId="5" xfId="0" applyNumberFormat="1" applyFont="1" applyFill="1" applyAlignment="1">
      <alignment horizontal="centerContinuous"/>
    </xf>
    <xf numFmtId="4" fontId="4" fillId="2" borderId="5" xfId="0" applyNumberFormat="1" applyFont="1" applyFill="1" applyAlignment="1">
      <alignment horizontal="center"/>
    </xf>
    <xf numFmtId="0" fontId="4" fillId="2" borderId="5" xfId="0" applyNumberFormat="1" applyFont="1" applyFill="1" applyAlignment="1">
      <alignment/>
    </xf>
    <xf numFmtId="0" fontId="16" fillId="2" borderId="3" xfId="0" applyNumberFormat="1" applyFont="1" applyFill="1" applyAlignment="1">
      <alignment horizontal="right"/>
    </xf>
    <xf numFmtId="3" fontId="13" fillId="2" borderId="0" xfId="0" applyNumberFormat="1" applyFont="1" applyFill="1" applyAlignment="1">
      <alignment horizontal="center"/>
    </xf>
    <xf numFmtId="0" fontId="16" fillId="2" borderId="4" xfId="0" applyNumberFormat="1" applyFont="1" applyFill="1" applyAlignment="1">
      <alignment horizontal="right"/>
    </xf>
    <xf numFmtId="3" fontId="18" fillId="2" borderId="5" xfId="0" applyNumberFormat="1" applyFont="1" applyFill="1" applyAlignment="1">
      <alignment/>
    </xf>
    <xf numFmtId="0" fontId="16" fillId="2" borderId="4" xfId="0" applyNumberFormat="1" applyFont="1" applyFill="1" applyAlignment="1">
      <alignment horizontal="center"/>
    </xf>
    <xf numFmtId="0" fontId="18" fillId="2" borderId="5" xfId="0" applyNumberFormat="1" applyFont="1" applyFill="1" applyAlignment="1">
      <alignment/>
    </xf>
    <xf numFmtId="3" fontId="16" fillId="2" borderId="5" xfId="0" applyNumberFormat="1" applyFont="1" applyFill="1" applyAlignment="1">
      <alignment horizontal="center"/>
    </xf>
    <xf numFmtId="0" fontId="16" fillId="2" borderId="5" xfId="0" applyNumberFormat="1" applyFont="1" applyFill="1" applyAlignment="1">
      <alignment horizontal="right"/>
    </xf>
    <xf numFmtId="4" fontId="16" fillId="2" borderId="5" xfId="0" applyNumberFormat="1" applyFont="1" applyFill="1" applyAlignment="1">
      <alignment horizontal="right"/>
    </xf>
    <xf numFmtId="9" fontId="16" fillId="2" borderId="5" xfId="0" applyNumberFormat="1" applyFont="1" applyFill="1" applyAlignment="1">
      <alignment horizontal="right"/>
    </xf>
    <xf numFmtId="10" fontId="16" fillId="2" borderId="5" xfId="0" applyNumberFormat="1" applyFont="1" applyFill="1" applyAlignment="1">
      <alignment horizontal="center"/>
    </xf>
    <xf numFmtId="0" fontId="16" fillId="2" borderId="5" xfId="0" applyNumberFormat="1" applyFont="1" applyFill="1" applyAlignment="1">
      <alignment horizontal="center"/>
    </xf>
    <xf numFmtId="178" fontId="16" fillId="2" borderId="5" xfId="0" applyNumberFormat="1" applyFont="1" applyFill="1" applyAlignment="1">
      <alignment/>
    </xf>
    <xf numFmtId="178" fontId="4" fillId="2" borderId="5" xfId="0" applyNumberFormat="1" applyFont="1" applyFill="1" applyAlignment="1">
      <alignment/>
    </xf>
    <xf numFmtId="10" fontId="16" fillId="2" borderId="5" xfId="0" applyNumberFormat="1" applyFont="1" applyFill="1" applyAlignment="1">
      <alignment/>
    </xf>
    <xf numFmtId="0" fontId="13" fillId="2" borderId="5" xfId="0" applyNumberFormat="1" applyFont="1" applyFill="1" applyAlignment="1">
      <alignment horizontal="center"/>
    </xf>
    <xf numFmtId="3" fontId="13" fillId="2" borderId="5" xfId="0" applyNumberFormat="1" applyFont="1" applyFill="1" applyAlignment="1">
      <alignment horizontal="center"/>
    </xf>
    <xf numFmtId="0" fontId="14" fillId="2" borderId="5" xfId="0" applyNumberFormat="1" applyFont="1" applyFill="1" applyAlignment="1">
      <alignment/>
    </xf>
    <xf numFmtId="0" fontId="11" fillId="2" borderId="3" xfId="0" applyNumberFormat="1" applyFont="1" applyFill="1" applyAlignment="1">
      <alignment/>
    </xf>
    <xf numFmtId="0" fontId="19" fillId="2" borderId="0" xfId="0" applyNumberFormat="1" applyFont="1" applyFill="1" applyAlignment="1">
      <alignment horizontal="center"/>
    </xf>
    <xf numFmtId="0" fontId="20" fillId="2" borderId="0" xfId="0" applyNumberFormat="1" applyFont="1" applyFill="1" applyAlignment="1">
      <alignment/>
    </xf>
    <xf numFmtId="3" fontId="20" fillId="2" borderId="0" xfId="0" applyNumberFormat="1" applyFont="1" applyFill="1" applyAlignment="1">
      <alignment/>
    </xf>
    <xf numFmtId="0" fontId="21" fillId="2" borderId="0" xfId="0" applyNumberFormat="1" applyFont="1" applyFill="1" applyAlignment="1">
      <alignment/>
    </xf>
    <xf numFmtId="0" fontId="12" fillId="2" borderId="0" xfId="0" applyNumberFormat="1" applyFont="1" applyFill="1" applyAlignment="1">
      <alignment horizontal="center"/>
    </xf>
    <xf numFmtId="0" fontId="0" fillId="2" borderId="3" xfId="0" applyNumberFormat="1" applyFont="1" applyFill="1" applyAlignment="1">
      <alignment/>
    </xf>
    <xf numFmtId="0" fontId="0" fillId="2" borderId="0" xfId="0" applyNumberFormat="1" applyFont="1" applyFill="1" applyAlignment="1">
      <alignment/>
    </xf>
    <xf numFmtId="0" fontId="0" fillId="0" borderId="2" xfId="0" applyNumberFormat="1" applyAlignment="1">
      <alignment/>
    </xf>
    <xf numFmtId="172" fontId="0" fillId="0" borderId="0" xfId="0" applyNumberFormat="1" applyAlignment="1">
      <alignment/>
    </xf>
    <xf numFmtId="3" fontId="0" fillId="0" borderId="0" xfId="0" applyNumberFormat="1" applyAlignment="1">
      <alignment/>
    </xf>
    <xf numFmtId="3" fontId="0" fillId="0" borderId="3" xfId="0" applyNumberFormat="1" applyAlignment="1">
      <alignment/>
    </xf>
    <xf numFmtId="0" fontId="4" fillId="2" borderId="6" xfId="0" applyNumberFormat="1" applyFont="1" applyFill="1" applyBorder="1" applyAlignment="1">
      <alignment/>
    </xf>
    <xf numFmtId="0" fontId="12" fillId="2" borderId="7" xfId="0" applyNumberFormat="1" applyFont="1" applyFill="1" applyBorder="1" applyAlignment="1">
      <alignment/>
    </xf>
    <xf numFmtId="0" fontId="4" fillId="2" borderId="7" xfId="0" applyNumberFormat="1" applyFont="1" applyFill="1" applyBorder="1" applyAlignment="1">
      <alignment/>
    </xf>
    <xf numFmtId="0" fontId="4" fillId="2" borderId="7" xfId="0" applyNumberFormat="1" applyFont="1" applyFill="1" applyBorder="1" applyAlignment="1">
      <alignment horizontal="right"/>
    </xf>
    <xf numFmtId="0" fontId="4" fillId="2" borderId="8" xfId="0" applyNumberFormat="1" applyFont="1" applyFill="1" applyBorder="1" applyAlignment="1">
      <alignment/>
    </xf>
    <xf numFmtId="3" fontId="4" fillId="2" borderId="7" xfId="0" applyNumberFormat="1" applyFont="1" applyFill="1" applyBorder="1" applyAlignment="1">
      <alignment/>
    </xf>
    <xf numFmtId="176" fontId="0" fillId="2" borderId="5" xfId="0" applyNumberFormat="1" applyFont="1" applyFill="1" applyAlignment="1">
      <alignment/>
    </xf>
    <xf numFmtId="0" fontId="0" fillId="2" borderId="5" xfId="0" applyNumberFormat="1" applyFont="1" applyFill="1" applyAlignment="1">
      <alignment/>
    </xf>
    <xf numFmtId="0" fontId="0" fillId="2" borderId="4" xfId="0" applyNumberFormat="1" applyFont="1" applyFill="1" applyAlignment="1">
      <alignment/>
    </xf>
    <xf numFmtId="3" fontId="0" fillId="0" borderId="0" xfId="0" applyNumberFormat="1" applyFont="1" applyAlignment="1">
      <alignment/>
    </xf>
    <xf numFmtId="0" fontId="22" fillId="2" borderId="0" xfId="0" applyNumberFormat="1" applyFont="1" applyFill="1" applyAlignment="1">
      <alignment/>
    </xf>
    <xf numFmtId="0" fontId="22" fillId="2" borderId="0" xfId="0" applyNumberFormat="1" applyFont="1" applyFill="1" applyAlignment="1">
      <alignment horizontal="center"/>
    </xf>
    <xf numFmtId="0" fontId="22" fillId="2" borderId="5" xfId="0" applyNumberFormat="1" applyFont="1" applyFill="1" applyAlignment="1">
      <alignment horizontal="center"/>
    </xf>
    <xf numFmtId="0" fontId="22" fillId="2" borderId="0" xfId="0" applyNumberFormat="1" applyFont="1" applyFill="1" applyAlignment="1">
      <alignment horizontal="center" wrapText="1"/>
    </xf>
    <xf numFmtId="0" fontId="23" fillId="2" borderId="0" xfId="0" applyNumberFormat="1" applyFont="1" applyFill="1" applyAlignment="1">
      <alignment horizontal="center" wrapText="1"/>
    </xf>
    <xf numFmtId="0" fontId="24" fillId="2" borderId="0" xfId="0" applyNumberFormat="1" applyFont="1" applyFill="1" applyAlignment="1">
      <alignment/>
    </xf>
    <xf numFmtId="0" fontId="23" fillId="2" borderId="3" xfId="0" applyNumberFormat="1" applyFont="1" applyFill="1" applyAlignment="1">
      <alignment/>
    </xf>
    <xf numFmtId="0" fontId="22" fillId="2" borderId="0" xfId="0" applyNumberFormat="1" applyFont="1" applyFill="1" applyAlignment="1">
      <alignment horizontal="left" vertical="top" wrapText="1"/>
    </xf>
    <xf numFmtId="0" fontId="22" fillId="2" borderId="0" xfId="0" applyNumberFormat="1" applyFont="1" applyFill="1" applyAlignment="1">
      <alignment horizontal="center" vertical="top" wrapText="1"/>
    </xf>
    <xf numFmtId="4" fontId="22" fillId="2" borderId="0" xfId="0" applyNumberFormat="1" applyFont="1" applyFill="1" applyAlignment="1">
      <alignment horizontal="center" vertical="top" wrapText="1"/>
    </xf>
    <xf numFmtId="0" fontId="22" fillId="2" borderId="0" xfId="0" applyNumberFormat="1" applyFont="1" applyFill="1" applyAlignment="1">
      <alignment/>
    </xf>
    <xf numFmtId="0" fontId="25" fillId="0" borderId="3" xfId="0" applyNumberFormat="1" applyFont="1" applyAlignment="1">
      <alignment/>
    </xf>
    <xf numFmtId="0" fontId="25" fillId="0" borderId="0" xfId="0" applyNumberFormat="1" applyFont="1" applyAlignment="1">
      <alignment/>
    </xf>
    <xf numFmtId="0" fontId="26" fillId="2" borderId="5" xfId="0" applyNumberFormat="1" applyFont="1" applyFill="1" applyAlignment="1">
      <alignment/>
    </xf>
    <xf numFmtId="0" fontId="26" fillId="2" borderId="0" xfId="0" applyNumberFormat="1" applyFont="1" applyFill="1" applyAlignment="1">
      <alignment/>
    </xf>
    <xf numFmtId="0" fontId="22" fillId="2" borderId="0" xfId="0" applyNumberFormat="1" applyFont="1" applyFill="1" applyAlignment="1">
      <alignment horizontal="right"/>
    </xf>
    <xf numFmtId="4" fontId="22" fillId="2" borderId="0" xfId="0" applyNumberFormat="1" applyFont="1" applyFill="1" applyAlignment="1">
      <alignment horizontal="right"/>
    </xf>
    <xf numFmtId="0" fontId="23" fillId="2" borderId="0" xfId="0" applyNumberFormat="1" applyFont="1" applyFill="1" applyAlignment="1">
      <alignment/>
    </xf>
    <xf numFmtId="0" fontId="22" fillId="2" borderId="5" xfId="0" applyNumberFormat="1" applyFont="1" applyFill="1" applyAlignment="1">
      <alignment/>
    </xf>
    <xf numFmtId="0" fontId="4" fillId="2" borderId="9" xfId="0" applyNumberFormat="1" applyFont="1" applyFill="1" applyBorder="1" applyAlignment="1">
      <alignment/>
    </xf>
    <xf numFmtId="0" fontId="13" fillId="2" borderId="10" xfId="0" applyNumberFormat="1" applyFont="1" applyFill="1" applyBorder="1" applyAlignment="1">
      <alignment horizontal="center"/>
    </xf>
    <xf numFmtId="3" fontId="13" fillId="2" borderId="10" xfId="0" applyNumberFormat="1" applyFont="1" applyFill="1" applyBorder="1" applyAlignment="1">
      <alignment horizontal="center"/>
    </xf>
    <xf numFmtId="0" fontId="14" fillId="2" borderId="10" xfId="0" applyNumberFormat="1" applyFont="1" applyFill="1" applyBorder="1" applyAlignment="1">
      <alignment/>
    </xf>
    <xf numFmtId="0" fontId="18" fillId="2" borderId="11" xfId="0" applyNumberFormat="1" applyFont="1" applyFill="1" applyBorder="1" applyAlignment="1">
      <alignment/>
    </xf>
    <xf numFmtId="0" fontId="22" fillId="2" borderId="0" xfId="0" applyNumberFormat="1" applyFont="1" applyFill="1" applyAlignment="1">
      <alignment horizontal="center" wrapText="1"/>
    </xf>
    <xf numFmtId="0" fontId="13" fillId="2" borderId="10" xfId="0" applyNumberFormat="1" applyFont="1" applyFill="1" applyBorder="1" applyAlignment="1">
      <alignment/>
    </xf>
    <xf numFmtId="0" fontId="22" fillId="2" borderId="0" xfId="0" applyNumberFormat="1" applyFont="1" applyFill="1" applyAlignment="1">
      <alignment horizontal="left" vertical="top" wrapText="1"/>
    </xf>
    <xf numFmtId="0" fontId="22" fillId="2" borderId="0" xfId="0" applyNumberFormat="1" applyFont="1" applyFill="1" applyAlignment="1">
      <alignment horizontal="center" vertical="top" wrapText="1"/>
    </xf>
    <xf numFmtId="4" fontId="22" fillId="2" borderId="0" xfId="0" applyNumberFormat="1" applyFont="1" applyFill="1" applyAlignment="1">
      <alignment horizontal="center" vertical="top" wrapText="1"/>
    </xf>
    <xf numFmtId="0" fontId="23" fillId="2" borderId="0" xfId="0" applyNumberFormat="1" applyFont="1" applyFill="1" applyAlignment="1">
      <alignment horizontal="center" wrapText="1"/>
    </xf>
    <xf numFmtId="176" fontId="4" fillId="2" borderId="5" xfId="0" applyNumberFormat="1" applyFont="1" applyFill="1" applyAlignment="1">
      <alignment horizontal="righ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85725</xdr:rowOff>
    </xdr:from>
    <xdr:to>
      <xdr:col>1</xdr:col>
      <xdr:colOff>0</xdr:colOff>
      <xdr:row>52</xdr:row>
      <xdr:rowOff>123825</xdr:rowOff>
    </xdr:to>
    <xdr:pic>
      <xdr:nvPicPr>
        <xdr:cNvPr id="1" name="Picture 1"/>
        <xdr:cNvPicPr preferRelativeResize="1">
          <a:picLocks noChangeAspect="1"/>
        </xdr:cNvPicPr>
      </xdr:nvPicPr>
      <xdr:blipFill>
        <a:blip r:link="rId1"/>
        <a:stretch>
          <a:fillRect/>
        </a:stretch>
      </xdr:blipFill>
      <xdr:spPr>
        <a:xfrm>
          <a:off x="0" y="10544175"/>
          <a:ext cx="314325" cy="238125"/>
        </a:xfrm>
        <a:prstGeom prst="rect">
          <a:avLst/>
        </a:prstGeom>
        <a:noFill/>
        <a:ln w="9525" cmpd="sng">
          <a:noFill/>
        </a:ln>
      </xdr:spPr>
    </xdr:pic>
    <xdr:clientData/>
  </xdr:twoCellAnchor>
  <xdr:twoCellAnchor>
    <xdr:from>
      <xdr:col>0</xdr:col>
      <xdr:colOff>47625</xdr:colOff>
      <xdr:row>113</xdr:row>
      <xdr:rowOff>76200</xdr:rowOff>
    </xdr:from>
    <xdr:to>
      <xdr:col>1</xdr:col>
      <xdr:colOff>47625</xdr:colOff>
      <xdr:row>114</xdr:row>
      <xdr:rowOff>114300</xdr:rowOff>
    </xdr:to>
    <xdr:pic>
      <xdr:nvPicPr>
        <xdr:cNvPr id="2" name="Picture 2"/>
        <xdr:cNvPicPr preferRelativeResize="1">
          <a:picLocks noChangeAspect="1"/>
        </xdr:cNvPicPr>
      </xdr:nvPicPr>
      <xdr:blipFill>
        <a:blip r:link="rId1"/>
        <a:stretch>
          <a:fillRect/>
        </a:stretch>
      </xdr:blipFill>
      <xdr:spPr>
        <a:xfrm>
          <a:off x="47625" y="23345775"/>
          <a:ext cx="314325" cy="238125"/>
        </a:xfrm>
        <a:prstGeom prst="rect">
          <a:avLst/>
        </a:prstGeom>
        <a:noFill/>
        <a:ln w="9525" cmpd="sng">
          <a:noFill/>
        </a:ln>
      </xdr:spPr>
    </xdr:pic>
    <xdr:clientData/>
  </xdr:twoCellAnchor>
  <xdr:twoCellAnchor>
    <xdr:from>
      <xdr:col>0</xdr:col>
      <xdr:colOff>19050</xdr:colOff>
      <xdr:row>172</xdr:row>
      <xdr:rowOff>104775</xdr:rowOff>
    </xdr:from>
    <xdr:to>
      <xdr:col>1</xdr:col>
      <xdr:colOff>19050</xdr:colOff>
      <xdr:row>173</xdr:row>
      <xdr:rowOff>142875</xdr:rowOff>
    </xdr:to>
    <xdr:pic>
      <xdr:nvPicPr>
        <xdr:cNvPr id="3" name="Picture 3"/>
        <xdr:cNvPicPr preferRelativeResize="1">
          <a:picLocks noChangeAspect="1"/>
        </xdr:cNvPicPr>
      </xdr:nvPicPr>
      <xdr:blipFill>
        <a:blip r:link="rId1"/>
        <a:stretch>
          <a:fillRect/>
        </a:stretch>
      </xdr:blipFill>
      <xdr:spPr>
        <a:xfrm>
          <a:off x="19050" y="35185350"/>
          <a:ext cx="314325" cy="238125"/>
        </a:xfrm>
        <a:prstGeom prst="rect">
          <a:avLst/>
        </a:prstGeom>
        <a:noFill/>
        <a:ln w="9525" cmpd="sng">
          <a:noFill/>
        </a:ln>
      </xdr:spPr>
    </xdr:pic>
    <xdr:clientData/>
  </xdr:twoCellAnchor>
  <xdr:twoCellAnchor>
    <xdr:from>
      <xdr:col>0</xdr:col>
      <xdr:colOff>28575</xdr:colOff>
      <xdr:row>238</xdr:row>
      <xdr:rowOff>85725</xdr:rowOff>
    </xdr:from>
    <xdr:to>
      <xdr:col>1</xdr:col>
      <xdr:colOff>28575</xdr:colOff>
      <xdr:row>239</xdr:row>
      <xdr:rowOff>133350</xdr:rowOff>
    </xdr:to>
    <xdr:pic>
      <xdr:nvPicPr>
        <xdr:cNvPr id="4" name="Picture 4"/>
        <xdr:cNvPicPr preferRelativeResize="1">
          <a:picLocks noChangeAspect="1"/>
        </xdr:cNvPicPr>
      </xdr:nvPicPr>
      <xdr:blipFill>
        <a:blip r:link="rId1"/>
        <a:stretch>
          <a:fillRect/>
        </a:stretch>
      </xdr:blipFill>
      <xdr:spPr>
        <a:xfrm>
          <a:off x="28575" y="48377475"/>
          <a:ext cx="314325" cy="238125"/>
        </a:xfrm>
        <a:prstGeom prst="rect">
          <a:avLst/>
        </a:prstGeom>
        <a:noFill/>
        <a:ln w="9525" cmpd="sng">
          <a:noFill/>
        </a:ln>
      </xdr:spPr>
    </xdr:pic>
    <xdr:clientData/>
  </xdr:twoCellAnchor>
  <xdr:twoCellAnchor>
    <xdr:from>
      <xdr:col>12</xdr:col>
      <xdr:colOff>581025</xdr:colOff>
      <xdr:row>238</xdr:row>
      <xdr:rowOff>76200</xdr:rowOff>
    </xdr:from>
    <xdr:to>
      <xdr:col>13</xdr:col>
      <xdr:colOff>123825</xdr:colOff>
      <xdr:row>239</xdr:row>
      <xdr:rowOff>114300</xdr:rowOff>
    </xdr:to>
    <xdr:pic>
      <xdr:nvPicPr>
        <xdr:cNvPr id="5" name="Picture 5"/>
        <xdr:cNvPicPr preferRelativeResize="1">
          <a:picLocks noChangeAspect="1"/>
        </xdr:cNvPicPr>
      </xdr:nvPicPr>
      <xdr:blipFill>
        <a:blip r:link="rId2"/>
        <a:stretch>
          <a:fillRect/>
        </a:stretch>
      </xdr:blipFill>
      <xdr:spPr>
        <a:xfrm>
          <a:off x="15154275" y="48367950"/>
          <a:ext cx="800100" cy="228600"/>
        </a:xfrm>
        <a:prstGeom prst="rect">
          <a:avLst/>
        </a:prstGeom>
        <a:noFill/>
        <a:ln w="9525" cmpd="sng">
          <a:noFill/>
        </a:ln>
      </xdr:spPr>
    </xdr:pic>
    <xdr:clientData/>
  </xdr:twoCellAnchor>
  <xdr:twoCellAnchor>
    <xdr:from>
      <xdr:col>12</xdr:col>
      <xdr:colOff>676275</xdr:colOff>
      <xdr:row>172</xdr:row>
      <xdr:rowOff>104775</xdr:rowOff>
    </xdr:from>
    <xdr:to>
      <xdr:col>13</xdr:col>
      <xdr:colOff>219075</xdr:colOff>
      <xdr:row>173</xdr:row>
      <xdr:rowOff>133350</xdr:rowOff>
    </xdr:to>
    <xdr:pic>
      <xdr:nvPicPr>
        <xdr:cNvPr id="6" name="Picture 6"/>
        <xdr:cNvPicPr preferRelativeResize="1">
          <a:picLocks noChangeAspect="1"/>
        </xdr:cNvPicPr>
      </xdr:nvPicPr>
      <xdr:blipFill>
        <a:blip r:link="rId2"/>
        <a:stretch>
          <a:fillRect/>
        </a:stretch>
      </xdr:blipFill>
      <xdr:spPr>
        <a:xfrm>
          <a:off x="15249525" y="35185350"/>
          <a:ext cx="800100" cy="228600"/>
        </a:xfrm>
        <a:prstGeom prst="rect">
          <a:avLst/>
        </a:prstGeom>
        <a:noFill/>
        <a:ln w="9525" cmpd="sng">
          <a:noFill/>
        </a:ln>
      </xdr:spPr>
    </xdr:pic>
    <xdr:clientData/>
  </xdr:twoCellAnchor>
  <xdr:twoCellAnchor>
    <xdr:from>
      <xdr:col>12</xdr:col>
      <xdr:colOff>638175</xdr:colOff>
      <xdr:row>113</xdr:row>
      <xdr:rowOff>104775</xdr:rowOff>
    </xdr:from>
    <xdr:to>
      <xdr:col>13</xdr:col>
      <xdr:colOff>180975</xdr:colOff>
      <xdr:row>114</xdr:row>
      <xdr:rowOff>133350</xdr:rowOff>
    </xdr:to>
    <xdr:pic>
      <xdr:nvPicPr>
        <xdr:cNvPr id="7" name="Picture 7"/>
        <xdr:cNvPicPr preferRelativeResize="1">
          <a:picLocks noChangeAspect="1"/>
        </xdr:cNvPicPr>
      </xdr:nvPicPr>
      <xdr:blipFill>
        <a:blip r:link="rId2"/>
        <a:stretch>
          <a:fillRect/>
        </a:stretch>
      </xdr:blipFill>
      <xdr:spPr>
        <a:xfrm>
          <a:off x="15211425" y="23374350"/>
          <a:ext cx="800100" cy="228600"/>
        </a:xfrm>
        <a:prstGeom prst="rect">
          <a:avLst/>
        </a:prstGeom>
        <a:noFill/>
        <a:ln w="9525" cmpd="sng">
          <a:noFill/>
        </a:ln>
      </xdr:spPr>
    </xdr:pic>
    <xdr:clientData/>
  </xdr:twoCellAnchor>
  <xdr:twoCellAnchor>
    <xdr:from>
      <xdr:col>12</xdr:col>
      <xdr:colOff>523875</xdr:colOff>
      <xdr:row>51</xdr:row>
      <xdr:rowOff>104775</xdr:rowOff>
    </xdr:from>
    <xdr:to>
      <xdr:col>13</xdr:col>
      <xdr:colOff>66675</xdr:colOff>
      <xdr:row>52</xdr:row>
      <xdr:rowOff>133350</xdr:rowOff>
    </xdr:to>
    <xdr:pic>
      <xdr:nvPicPr>
        <xdr:cNvPr id="8" name="Picture 8"/>
        <xdr:cNvPicPr preferRelativeResize="1">
          <a:picLocks noChangeAspect="1"/>
        </xdr:cNvPicPr>
      </xdr:nvPicPr>
      <xdr:blipFill>
        <a:blip r:link="rId2"/>
        <a:stretch>
          <a:fillRect/>
        </a:stretch>
      </xdr:blipFill>
      <xdr:spPr>
        <a:xfrm>
          <a:off x="15097125" y="10563225"/>
          <a:ext cx="800100" cy="228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95250</xdr:rowOff>
    </xdr:from>
    <xdr:to>
      <xdr:col>1</xdr:col>
      <xdr:colOff>0</xdr:colOff>
      <xdr:row>52</xdr:row>
      <xdr:rowOff>133350</xdr:rowOff>
    </xdr:to>
    <xdr:pic>
      <xdr:nvPicPr>
        <xdr:cNvPr id="1" name="Picture 1"/>
        <xdr:cNvPicPr preferRelativeResize="1">
          <a:picLocks noChangeAspect="1"/>
        </xdr:cNvPicPr>
      </xdr:nvPicPr>
      <xdr:blipFill>
        <a:blip r:link="rId1"/>
        <a:stretch>
          <a:fillRect/>
        </a:stretch>
      </xdr:blipFill>
      <xdr:spPr>
        <a:xfrm>
          <a:off x="0" y="10553700"/>
          <a:ext cx="314325" cy="238125"/>
        </a:xfrm>
        <a:prstGeom prst="rect">
          <a:avLst/>
        </a:prstGeom>
        <a:noFill/>
        <a:ln w="9525" cmpd="sng">
          <a:noFill/>
        </a:ln>
      </xdr:spPr>
    </xdr:pic>
    <xdr:clientData/>
  </xdr:twoCellAnchor>
  <xdr:twoCellAnchor>
    <xdr:from>
      <xdr:col>0</xdr:col>
      <xdr:colOff>28575</xdr:colOff>
      <xdr:row>114</xdr:row>
      <xdr:rowOff>76200</xdr:rowOff>
    </xdr:from>
    <xdr:to>
      <xdr:col>1</xdr:col>
      <xdr:colOff>28575</xdr:colOff>
      <xdr:row>115</xdr:row>
      <xdr:rowOff>114300</xdr:rowOff>
    </xdr:to>
    <xdr:pic>
      <xdr:nvPicPr>
        <xdr:cNvPr id="2" name="Picture 2"/>
        <xdr:cNvPicPr preferRelativeResize="1">
          <a:picLocks noChangeAspect="1"/>
        </xdr:cNvPicPr>
      </xdr:nvPicPr>
      <xdr:blipFill>
        <a:blip r:link="rId1"/>
        <a:stretch>
          <a:fillRect/>
        </a:stretch>
      </xdr:blipFill>
      <xdr:spPr>
        <a:xfrm>
          <a:off x="28575" y="23536275"/>
          <a:ext cx="314325" cy="238125"/>
        </a:xfrm>
        <a:prstGeom prst="rect">
          <a:avLst/>
        </a:prstGeom>
        <a:noFill/>
        <a:ln w="9525" cmpd="sng">
          <a:noFill/>
        </a:ln>
      </xdr:spPr>
    </xdr:pic>
    <xdr:clientData/>
  </xdr:twoCellAnchor>
  <xdr:twoCellAnchor>
    <xdr:from>
      <xdr:col>0</xdr:col>
      <xdr:colOff>19050</xdr:colOff>
      <xdr:row>172</xdr:row>
      <xdr:rowOff>104775</xdr:rowOff>
    </xdr:from>
    <xdr:to>
      <xdr:col>1</xdr:col>
      <xdr:colOff>19050</xdr:colOff>
      <xdr:row>173</xdr:row>
      <xdr:rowOff>142875</xdr:rowOff>
    </xdr:to>
    <xdr:pic>
      <xdr:nvPicPr>
        <xdr:cNvPr id="3" name="Picture 3"/>
        <xdr:cNvPicPr preferRelativeResize="1">
          <a:picLocks noChangeAspect="1"/>
        </xdr:cNvPicPr>
      </xdr:nvPicPr>
      <xdr:blipFill>
        <a:blip r:link="rId1"/>
        <a:stretch>
          <a:fillRect/>
        </a:stretch>
      </xdr:blipFill>
      <xdr:spPr>
        <a:xfrm>
          <a:off x="19050" y="35175825"/>
          <a:ext cx="314325" cy="238125"/>
        </a:xfrm>
        <a:prstGeom prst="rect">
          <a:avLst/>
        </a:prstGeom>
        <a:noFill/>
        <a:ln w="9525" cmpd="sng">
          <a:noFill/>
        </a:ln>
      </xdr:spPr>
    </xdr:pic>
    <xdr:clientData/>
  </xdr:twoCellAnchor>
  <xdr:twoCellAnchor>
    <xdr:from>
      <xdr:col>0</xdr:col>
      <xdr:colOff>28575</xdr:colOff>
      <xdr:row>241</xdr:row>
      <xdr:rowOff>104775</xdr:rowOff>
    </xdr:from>
    <xdr:to>
      <xdr:col>1</xdr:col>
      <xdr:colOff>28575</xdr:colOff>
      <xdr:row>242</xdr:row>
      <xdr:rowOff>142875</xdr:rowOff>
    </xdr:to>
    <xdr:pic>
      <xdr:nvPicPr>
        <xdr:cNvPr id="4" name="Picture 4"/>
        <xdr:cNvPicPr preferRelativeResize="1">
          <a:picLocks noChangeAspect="1"/>
        </xdr:cNvPicPr>
      </xdr:nvPicPr>
      <xdr:blipFill>
        <a:blip r:link="rId1"/>
        <a:stretch>
          <a:fillRect/>
        </a:stretch>
      </xdr:blipFill>
      <xdr:spPr>
        <a:xfrm>
          <a:off x="28575" y="48987075"/>
          <a:ext cx="314325" cy="238125"/>
        </a:xfrm>
        <a:prstGeom prst="rect">
          <a:avLst/>
        </a:prstGeom>
        <a:noFill/>
        <a:ln w="9525" cmpd="sng">
          <a:noFill/>
        </a:ln>
      </xdr:spPr>
    </xdr:pic>
    <xdr:clientData/>
  </xdr:twoCellAnchor>
  <xdr:twoCellAnchor>
    <xdr:from>
      <xdr:col>12</xdr:col>
      <xdr:colOff>581025</xdr:colOff>
      <xdr:row>241</xdr:row>
      <xdr:rowOff>47625</xdr:rowOff>
    </xdr:from>
    <xdr:to>
      <xdr:col>13</xdr:col>
      <xdr:colOff>123825</xdr:colOff>
      <xdr:row>242</xdr:row>
      <xdr:rowOff>76200</xdr:rowOff>
    </xdr:to>
    <xdr:pic>
      <xdr:nvPicPr>
        <xdr:cNvPr id="5" name="Picture 5"/>
        <xdr:cNvPicPr preferRelativeResize="1">
          <a:picLocks noChangeAspect="1"/>
        </xdr:cNvPicPr>
      </xdr:nvPicPr>
      <xdr:blipFill>
        <a:blip r:link="rId2"/>
        <a:stretch>
          <a:fillRect/>
        </a:stretch>
      </xdr:blipFill>
      <xdr:spPr>
        <a:xfrm>
          <a:off x="15154275" y="48929925"/>
          <a:ext cx="800100" cy="228600"/>
        </a:xfrm>
        <a:prstGeom prst="rect">
          <a:avLst/>
        </a:prstGeom>
        <a:noFill/>
        <a:ln w="9525" cmpd="sng">
          <a:noFill/>
        </a:ln>
      </xdr:spPr>
    </xdr:pic>
    <xdr:clientData/>
  </xdr:twoCellAnchor>
  <xdr:twoCellAnchor>
    <xdr:from>
      <xdr:col>12</xdr:col>
      <xdr:colOff>561975</xdr:colOff>
      <xdr:row>172</xdr:row>
      <xdr:rowOff>85725</xdr:rowOff>
    </xdr:from>
    <xdr:to>
      <xdr:col>13</xdr:col>
      <xdr:colOff>104775</xdr:colOff>
      <xdr:row>173</xdr:row>
      <xdr:rowOff>114300</xdr:rowOff>
    </xdr:to>
    <xdr:pic>
      <xdr:nvPicPr>
        <xdr:cNvPr id="6" name="Picture 6"/>
        <xdr:cNvPicPr preferRelativeResize="1">
          <a:picLocks noChangeAspect="1"/>
        </xdr:cNvPicPr>
      </xdr:nvPicPr>
      <xdr:blipFill>
        <a:blip r:link="rId2"/>
        <a:stretch>
          <a:fillRect/>
        </a:stretch>
      </xdr:blipFill>
      <xdr:spPr>
        <a:xfrm>
          <a:off x="15135225" y="35156775"/>
          <a:ext cx="800100" cy="228600"/>
        </a:xfrm>
        <a:prstGeom prst="rect">
          <a:avLst/>
        </a:prstGeom>
        <a:noFill/>
        <a:ln w="9525" cmpd="sng">
          <a:noFill/>
        </a:ln>
      </xdr:spPr>
    </xdr:pic>
    <xdr:clientData/>
  </xdr:twoCellAnchor>
  <xdr:twoCellAnchor>
    <xdr:from>
      <xdr:col>12</xdr:col>
      <xdr:colOff>533400</xdr:colOff>
      <xdr:row>114</xdr:row>
      <xdr:rowOff>66675</xdr:rowOff>
    </xdr:from>
    <xdr:to>
      <xdr:col>13</xdr:col>
      <xdr:colOff>76200</xdr:colOff>
      <xdr:row>115</xdr:row>
      <xdr:rowOff>95250</xdr:rowOff>
    </xdr:to>
    <xdr:pic>
      <xdr:nvPicPr>
        <xdr:cNvPr id="7" name="Picture 7"/>
        <xdr:cNvPicPr preferRelativeResize="1">
          <a:picLocks noChangeAspect="1"/>
        </xdr:cNvPicPr>
      </xdr:nvPicPr>
      <xdr:blipFill>
        <a:blip r:link="rId2"/>
        <a:stretch>
          <a:fillRect/>
        </a:stretch>
      </xdr:blipFill>
      <xdr:spPr>
        <a:xfrm>
          <a:off x="15106650" y="23526750"/>
          <a:ext cx="800100" cy="228600"/>
        </a:xfrm>
        <a:prstGeom prst="rect">
          <a:avLst/>
        </a:prstGeom>
        <a:noFill/>
        <a:ln w="9525" cmpd="sng">
          <a:noFill/>
        </a:ln>
      </xdr:spPr>
    </xdr:pic>
    <xdr:clientData/>
  </xdr:twoCellAnchor>
  <xdr:twoCellAnchor>
    <xdr:from>
      <xdr:col>12</xdr:col>
      <xdr:colOff>590550</xdr:colOff>
      <xdr:row>51</xdr:row>
      <xdr:rowOff>95250</xdr:rowOff>
    </xdr:from>
    <xdr:to>
      <xdr:col>13</xdr:col>
      <xdr:colOff>133350</xdr:colOff>
      <xdr:row>52</xdr:row>
      <xdr:rowOff>123825</xdr:rowOff>
    </xdr:to>
    <xdr:pic>
      <xdr:nvPicPr>
        <xdr:cNvPr id="8" name="Picture 8"/>
        <xdr:cNvPicPr preferRelativeResize="1">
          <a:picLocks noChangeAspect="1"/>
        </xdr:cNvPicPr>
      </xdr:nvPicPr>
      <xdr:blipFill>
        <a:blip r:link="rId2"/>
        <a:stretch>
          <a:fillRect/>
        </a:stretch>
      </xdr:blipFill>
      <xdr:spPr>
        <a:xfrm>
          <a:off x="15163800" y="10553700"/>
          <a:ext cx="800100" cy="228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95250</xdr:rowOff>
    </xdr:from>
    <xdr:to>
      <xdr:col>1</xdr:col>
      <xdr:colOff>0</xdr:colOff>
      <xdr:row>52</xdr:row>
      <xdr:rowOff>133350</xdr:rowOff>
    </xdr:to>
    <xdr:pic>
      <xdr:nvPicPr>
        <xdr:cNvPr id="1" name="Picture 1"/>
        <xdr:cNvPicPr preferRelativeResize="1">
          <a:picLocks noChangeAspect="1"/>
        </xdr:cNvPicPr>
      </xdr:nvPicPr>
      <xdr:blipFill>
        <a:blip r:link="rId1"/>
        <a:stretch>
          <a:fillRect/>
        </a:stretch>
      </xdr:blipFill>
      <xdr:spPr>
        <a:xfrm>
          <a:off x="0" y="10553700"/>
          <a:ext cx="314325" cy="238125"/>
        </a:xfrm>
        <a:prstGeom prst="rect">
          <a:avLst/>
        </a:prstGeom>
        <a:noFill/>
        <a:ln w="9525" cmpd="sng">
          <a:noFill/>
        </a:ln>
      </xdr:spPr>
    </xdr:pic>
    <xdr:clientData/>
  </xdr:twoCellAnchor>
  <xdr:twoCellAnchor>
    <xdr:from>
      <xdr:col>0</xdr:col>
      <xdr:colOff>28575</xdr:colOff>
      <xdr:row>114</xdr:row>
      <xdr:rowOff>76200</xdr:rowOff>
    </xdr:from>
    <xdr:to>
      <xdr:col>1</xdr:col>
      <xdr:colOff>28575</xdr:colOff>
      <xdr:row>115</xdr:row>
      <xdr:rowOff>114300</xdr:rowOff>
    </xdr:to>
    <xdr:pic>
      <xdr:nvPicPr>
        <xdr:cNvPr id="2" name="Picture 2"/>
        <xdr:cNvPicPr preferRelativeResize="1">
          <a:picLocks noChangeAspect="1"/>
        </xdr:cNvPicPr>
      </xdr:nvPicPr>
      <xdr:blipFill>
        <a:blip r:link="rId1"/>
        <a:stretch>
          <a:fillRect/>
        </a:stretch>
      </xdr:blipFill>
      <xdr:spPr>
        <a:xfrm>
          <a:off x="28575" y="23536275"/>
          <a:ext cx="314325" cy="238125"/>
        </a:xfrm>
        <a:prstGeom prst="rect">
          <a:avLst/>
        </a:prstGeom>
        <a:noFill/>
        <a:ln w="9525" cmpd="sng">
          <a:noFill/>
        </a:ln>
      </xdr:spPr>
    </xdr:pic>
    <xdr:clientData/>
  </xdr:twoCellAnchor>
  <xdr:twoCellAnchor>
    <xdr:from>
      <xdr:col>0</xdr:col>
      <xdr:colOff>19050</xdr:colOff>
      <xdr:row>172</xdr:row>
      <xdr:rowOff>104775</xdr:rowOff>
    </xdr:from>
    <xdr:to>
      <xdr:col>1</xdr:col>
      <xdr:colOff>19050</xdr:colOff>
      <xdr:row>173</xdr:row>
      <xdr:rowOff>142875</xdr:rowOff>
    </xdr:to>
    <xdr:pic>
      <xdr:nvPicPr>
        <xdr:cNvPr id="3" name="Picture 3"/>
        <xdr:cNvPicPr preferRelativeResize="1">
          <a:picLocks noChangeAspect="1"/>
        </xdr:cNvPicPr>
      </xdr:nvPicPr>
      <xdr:blipFill>
        <a:blip r:link="rId1"/>
        <a:stretch>
          <a:fillRect/>
        </a:stretch>
      </xdr:blipFill>
      <xdr:spPr>
        <a:xfrm>
          <a:off x="19050" y="35175825"/>
          <a:ext cx="314325" cy="238125"/>
        </a:xfrm>
        <a:prstGeom prst="rect">
          <a:avLst/>
        </a:prstGeom>
        <a:noFill/>
        <a:ln w="9525" cmpd="sng">
          <a:noFill/>
        </a:ln>
      </xdr:spPr>
    </xdr:pic>
    <xdr:clientData/>
  </xdr:twoCellAnchor>
  <xdr:twoCellAnchor>
    <xdr:from>
      <xdr:col>0</xdr:col>
      <xdr:colOff>28575</xdr:colOff>
      <xdr:row>241</xdr:row>
      <xdr:rowOff>104775</xdr:rowOff>
    </xdr:from>
    <xdr:to>
      <xdr:col>1</xdr:col>
      <xdr:colOff>28575</xdr:colOff>
      <xdr:row>242</xdr:row>
      <xdr:rowOff>142875</xdr:rowOff>
    </xdr:to>
    <xdr:pic>
      <xdr:nvPicPr>
        <xdr:cNvPr id="4" name="Picture 4"/>
        <xdr:cNvPicPr preferRelativeResize="1">
          <a:picLocks noChangeAspect="1"/>
        </xdr:cNvPicPr>
      </xdr:nvPicPr>
      <xdr:blipFill>
        <a:blip r:link="rId1"/>
        <a:stretch>
          <a:fillRect/>
        </a:stretch>
      </xdr:blipFill>
      <xdr:spPr>
        <a:xfrm>
          <a:off x="28575" y="48987075"/>
          <a:ext cx="314325" cy="238125"/>
        </a:xfrm>
        <a:prstGeom prst="rect">
          <a:avLst/>
        </a:prstGeom>
        <a:noFill/>
        <a:ln w="9525" cmpd="sng">
          <a:noFill/>
        </a:ln>
      </xdr:spPr>
    </xdr:pic>
    <xdr:clientData/>
  </xdr:twoCellAnchor>
  <xdr:twoCellAnchor>
    <xdr:from>
      <xdr:col>12</xdr:col>
      <xdr:colOff>581025</xdr:colOff>
      <xdr:row>241</xdr:row>
      <xdr:rowOff>47625</xdr:rowOff>
    </xdr:from>
    <xdr:to>
      <xdr:col>13</xdr:col>
      <xdr:colOff>123825</xdr:colOff>
      <xdr:row>242</xdr:row>
      <xdr:rowOff>76200</xdr:rowOff>
    </xdr:to>
    <xdr:pic>
      <xdr:nvPicPr>
        <xdr:cNvPr id="5" name="Picture 5"/>
        <xdr:cNvPicPr preferRelativeResize="1">
          <a:picLocks noChangeAspect="1"/>
        </xdr:cNvPicPr>
      </xdr:nvPicPr>
      <xdr:blipFill>
        <a:blip r:link="rId2"/>
        <a:stretch>
          <a:fillRect/>
        </a:stretch>
      </xdr:blipFill>
      <xdr:spPr>
        <a:xfrm>
          <a:off x="15154275" y="48929925"/>
          <a:ext cx="800100" cy="228600"/>
        </a:xfrm>
        <a:prstGeom prst="rect">
          <a:avLst/>
        </a:prstGeom>
        <a:noFill/>
        <a:ln w="9525" cmpd="sng">
          <a:noFill/>
        </a:ln>
      </xdr:spPr>
    </xdr:pic>
    <xdr:clientData/>
  </xdr:twoCellAnchor>
  <xdr:twoCellAnchor>
    <xdr:from>
      <xdr:col>12</xdr:col>
      <xdr:colOff>561975</xdr:colOff>
      <xdr:row>172</xdr:row>
      <xdr:rowOff>85725</xdr:rowOff>
    </xdr:from>
    <xdr:to>
      <xdr:col>13</xdr:col>
      <xdr:colOff>104775</xdr:colOff>
      <xdr:row>173</xdr:row>
      <xdr:rowOff>114300</xdr:rowOff>
    </xdr:to>
    <xdr:pic>
      <xdr:nvPicPr>
        <xdr:cNvPr id="6" name="Picture 6"/>
        <xdr:cNvPicPr preferRelativeResize="1">
          <a:picLocks noChangeAspect="1"/>
        </xdr:cNvPicPr>
      </xdr:nvPicPr>
      <xdr:blipFill>
        <a:blip r:link="rId2"/>
        <a:stretch>
          <a:fillRect/>
        </a:stretch>
      </xdr:blipFill>
      <xdr:spPr>
        <a:xfrm>
          <a:off x="15135225" y="35156775"/>
          <a:ext cx="800100" cy="228600"/>
        </a:xfrm>
        <a:prstGeom prst="rect">
          <a:avLst/>
        </a:prstGeom>
        <a:noFill/>
        <a:ln w="9525" cmpd="sng">
          <a:noFill/>
        </a:ln>
      </xdr:spPr>
    </xdr:pic>
    <xdr:clientData/>
  </xdr:twoCellAnchor>
  <xdr:twoCellAnchor>
    <xdr:from>
      <xdr:col>12</xdr:col>
      <xdr:colOff>533400</xdr:colOff>
      <xdr:row>114</xdr:row>
      <xdr:rowOff>66675</xdr:rowOff>
    </xdr:from>
    <xdr:to>
      <xdr:col>13</xdr:col>
      <xdr:colOff>76200</xdr:colOff>
      <xdr:row>115</xdr:row>
      <xdr:rowOff>95250</xdr:rowOff>
    </xdr:to>
    <xdr:pic>
      <xdr:nvPicPr>
        <xdr:cNvPr id="7" name="Picture 7"/>
        <xdr:cNvPicPr preferRelativeResize="1">
          <a:picLocks noChangeAspect="1"/>
        </xdr:cNvPicPr>
      </xdr:nvPicPr>
      <xdr:blipFill>
        <a:blip r:link="rId2"/>
        <a:stretch>
          <a:fillRect/>
        </a:stretch>
      </xdr:blipFill>
      <xdr:spPr>
        <a:xfrm>
          <a:off x="15106650" y="23526750"/>
          <a:ext cx="800100" cy="228600"/>
        </a:xfrm>
        <a:prstGeom prst="rect">
          <a:avLst/>
        </a:prstGeom>
        <a:noFill/>
        <a:ln w="9525" cmpd="sng">
          <a:noFill/>
        </a:ln>
      </xdr:spPr>
    </xdr:pic>
    <xdr:clientData/>
  </xdr:twoCellAnchor>
  <xdr:twoCellAnchor>
    <xdr:from>
      <xdr:col>12</xdr:col>
      <xdr:colOff>590550</xdr:colOff>
      <xdr:row>51</xdr:row>
      <xdr:rowOff>95250</xdr:rowOff>
    </xdr:from>
    <xdr:to>
      <xdr:col>13</xdr:col>
      <xdr:colOff>133350</xdr:colOff>
      <xdr:row>52</xdr:row>
      <xdr:rowOff>123825</xdr:rowOff>
    </xdr:to>
    <xdr:pic>
      <xdr:nvPicPr>
        <xdr:cNvPr id="8" name="Picture 8"/>
        <xdr:cNvPicPr preferRelativeResize="1">
          <a:picLocks noChangeAspect="1"/>
        </xdr:cNvPicPr>
      </xdr:nvPicPr>
      <xdr:blipFill>
        <a:blip r:link="rId2"/>
        <a:stretch>
          <a:fillRect/>
        </a:stretch>
      </xdr:blipFill>
      <xdr:spPr>
        <a:xfrm>
          <a:off x="15163800" y="10553700"/>
          <a:ext cx="800100" cy="228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95250</xdr:rowOff>
    </xdr:from>
    <xdr:to>
      <xdr:col>1</xdr:col>
      <xdr:colOff>0</xdr:colOff>
      <xdr:row>52</xdr:row>
      <xdr:rowOff>133350</xdr:rowOff>
    </xdr:to>
    <xdr:pic>
      <xdr:nvPicPr>
        <xdr:cNvPr id="1" name="Picture 1"/>
        <xdr:cNvPicPr preferRelativeResize="1">
          <a:picLocks noChangeAspect="1"/>
        </xdr:cNvPicPr>
      </xdr:nvPicPr>
      <xdr:blipFill>
        <a:blip r:link="rId1"/>
        <a:stretch>
          <a:fillRect/>
        </a:stretch>
      </xdr:blipFill>
      <xdr:spPr>
        <a:xfrm>
          <a:off x="0" y="10553700"/>
          <a:ext cx="314325" cy="238125"/>
        </a:xfrm>
        <a:prstGeom prst="rect">
          <a:avLst/>
        </a:prstGeom>
        <a:noFill/>
        <a:ln w="9525" cmpd="sng">
          <a:noFill/>
        </a:ln>
      </xdr:spPr>
    </xdr:pic>
    <xdr:clientData/>
  </xdr:twoCellAnchor>
  <xdr:twoCellAnchor>
    <xdr:from>
      <xdr:col>0</xdr:col>
      <xdr:colOff>28575</xdr:colOff>
      <xdr:row>114</xdr:row>
      <xdr:rowOff>76200</xdr:rowOff>
    </xdr:from>
    <xdr:to>
      <xdr:col>1</xdr:col>
      <xdr:colOff>28575</xdr:colOff>
      <xdr:row>115</xdr:row>
      <xdr:rowOff>114300</xdr:rowOff>
    </xdr:to>
    <xdr:pic>
      <xdr:nvPicPr>
        <xdr:cNvPr id="2" name="Picture 2"/>
        <xdr:cNvPicPr preferRelativeResize="1">
          <a:picLocks noChangeAspect="1"/>
        </xdr:cNvPicPr>
      </xdr:nvPicPr>
      <xdr:blipFill>
        <a:blip r:link="rId1"/>
        <a:stretch>
          <a:fillRect/>
        </a:stretch>
      </xdr:blipFill>
      <xdr:spPr>
        <a:xfrm>
          <a:off x="28575" y="23536275"/>
          <a:ext cx="314325" cy="238125"/>
        </a:xfrm>
        <a:prstGeom prst="rect">
          <a:avLst/>
        </a:prstGeom>
        <a:noFill/>
        <a:ln w="9525" cmpd="sng">
          <a:noFill/>
        </a:ln>
      </xdr:spPr>
    </xdr:pic>
    <xdr:clientData/>
  </xdr:twoCellAnchor>
  <xdr:twoCellAnchor>
    <xdr:from>
      <xdr:col>0</xdr:col>
      <xdr:colOff>19050</xdr:colOff>
      <xdr:row>172</xdr:row>
      <xdr:rowOff>104775</xdr:rowOff>
    </xdr:from>
    <xdr:to>
      <xdr:col>1</xdr:col>
      <xdr:colOff>19050</xdr:colOff>
      <xdr:row>173</xdr:row>
      <xdr:rowOff>142875</xdr:rowOff>
    </xdr:to>
    <xdr:pic>
      <xdr:nvPicPr>
        <xdr:cNvPr id="3" name="Picture 3"/>
        <xdr:cNvPicPr preferRelativeResize="1">
          <a:picLocks noChangeAspect="1"/>
        </xdr:cNvPicPr>
      </xdr:nvPicPr>
      <xdr:blipFill>
        <a:blip r:link="rId1"/>
        <a:stretch>
          <a:fillRect/>
        </a:stretch>
      </xdr:blipFill>
      <xdr:spPr>
        <a:xfrm>
          <a:off x="19050" y="35175825"/>
          <a:ext cx="314325" cy="238125"/>
        </a:xfrm>
        <a:prstGeom prst="rect">
          <a:avLst/>
        </a:prstGeom>
        <a:noFill/>
        <a:ln w="9525" cmpd="sng">
          <a:noFill/>
        </a:ln>
      </xdr:spPr>
    </xdr:pic>
    <xdr:clientData/>
  </xdr:twoCellAnchor>
  <xdr:twoCellAnchor>
    <xdr:from>
      <xdr:col>0</xdr:col>
      <xdr:colOff>28575</xdr:colOff>
      <xdr:row>241</xdr:row>
      <xdr:rowOff>104775</xdr:rowOff>
    </xdr:from>
    <xdr:to>
      <xdr:col>1</xdr:col>
      <xdr:colOff>28575</xdr:colOff>
      <xdr:row>242</xdr:row>
      <xdr:rowOff>142875</xdr:rowOff>
    </xdr:to>
    <xdr:pic>
      <xdr:nvPicPr>
        <xdr:cNvPr id="4" name="Picture 4"/>
        <xdr:cNvPicPr preferRelativeResize="1">
          <a:picLocks noChangeAspect="1"/>
        </xdr:cNvPicPr>
      </xdr:nvPicPr>
      <xdr:blipFill>
        <a:blip r:link="rId1"/>
        <a:stretch>
          <a:fillRect/>
        </a:stretch>
      </xdr:blipFill>
      <xdr:spPr>
        <a:xfrm>
          <a:off x="28575" y="48987075"/>
          <a:ext cx="314325" cy="238125"/>
        </a:xfrm>
        <a:prstGeom prst="rect">
          <a:avLst/>
        </a:prstGeom>
        <a:noFill/>
        <a:ln w="9525" cmpd="sng">
          <a:noFill/>
        </a:ln>
      </xdr:spPr>
    </xdr:pic>
    <xdr:clientData/>
  </xdr:twoCellAnchor>
  <xdr:twoCellAnchor>
    <xdr:from>
      <xdr:col>12</xdr:col>
      <xdr:colOff>581025</xdr:colOff>
      <xdr:row>241</xdr:row>
      <xdr:rowOff>47625</xdr:rowOff>
    </xdr:from>
    <xdr:to>
      <xdr:col>13</xdr:col>
      <xdr:colOff>123825</xdr:colOff>
      <xdr:row>242</xdr:row>
      <xdr:rowOff>76200</xdr:rowOff>
    </xdr:to>
    <xdr:pic>
      <xdr:nvPicPr>
        <xdr:cNvPr id="5" name="Picture 5"/>
        <xdr:cNvPicPr preferRelativeResize="1">
          <a:picLocks noChangeAspect="1"/>
        </xdr:cNvPicPr>
      </xdr:nvPicPr>
      <xdr:blipFill>
        <a:blip r:link="rId2"/>
        <a:stretch>
          <a:fillRect/>
        </a:stretch>
      </xdr:blipFill>
      <xdr:spPr>
        <a:xfrm>
          <a:off x="15154275" y="48929925"/>
          <a:ext cx="800100" cy="228600"/>
        </a:xfrm>
        <a:prstGeom prst="rect">
          <a:avLst/>
        </a:prstGeom>
        <a:noFill/>
        <a:ln w="9525" cmpd="sng">
          <a:noFill/>
        </a:ln>
      </xdr:spPr>
    </xdr:pic>
    <xdr:clientData/>
  </xdr:twoCellAnchor>
  <xdr:twoCellAnchor>
    <xdr:from>
      <xdr:col>12</xdr:col>
      <xdr:colOff>561975</xdr:colOff>
      <xdr:row>172</xdr:row>
      <xdr:rowOff>85725</xdr:rowOff>
    </xdr:from>
    <xdr:to>
      <xdr:col>13</xdr:col>
      <xdr:colOff>104775</xdr:colOff>
      <xdr:row>173</xdr:row>
      <xdr:rowOff>114300</xdr:rowOff>
    </xdr:to>
    <xdr:pic>
      <xdr:nvPicPr>
        <xdr:cNvPr id="6" name="Picture 6"/>
        <xdr:cNvPicPr preferRelativeResize="1">
          <a:picLocks noChangeAspect="1"/>
        </xdr:cNvPicPr>
      </xdr:nvPicPr>
      <xdr:blipFill>
        <a:blip r:link="rId2"/>
        <a:stretch>
          <a:fillRect/>
        </a:stretch>
      </xdr:blipFill>
      <xdr:spPr>
        <a:xfrm>
          <a:off x="15135225" y="35156775"/>
          <a:ext cx="800100" cy="228600"/>
        </a:xfrm>
        <a:prstGeom prst="rect">
          <a:avLst/>
        </a:prstGeom>
        <a:noFill/>
        <a:ln w="9525" cmpd="sng">
          <a:noFill/>
        </a:ln>
      </xdr:spPr>
    </xdr:pic>
    <xdr:clientData/>
  </xdr:twoCellAnchor>
  <xdr:twoCellAnchor>
    <xdr:from>
      <xdr:col>12</xdr:col>
      <xdr:colOff>533400</xdr:colOff>
      <xdr:row>114</xdr:row>
      <xdr:rowOff>66675</xdr:rowOff>
    </xdr:from>
    <xdr:to>
      <xdr:col>13</xdr:col>
      <xdr:colOff>76200</xdr:colOff>
      <xdr:row>115</xdr:row>
      <xdr:rowOff>95250</xdr:rowOff>
    </xdr:to>
    <xdr:pic>
      <xdr:nvPicPr>
        <xdr:cNvPr id="7" name="Picture 7"/>
        <xdr:cNvPicPr preferRelativeResize="1">
          <a:picLocks noChangeAspect="1"/>
        </xdr:cNvPicPr>
      </xdr:nvPicPr>
      <xdr:blipFill>
        <a:blip r:link="rId2"/>
        <a:stretch>
          <a:fillRect/>
        </a:stretch>
      </xdr:blipFill>
      <xdr:spPr>
        <a:xfrm>
          <a:off x="15106650" y="23526750"/>
          <a:ext cx="800100" cy="228600"/>
        </a:xfrm>
        <a:prstGeom prst="rect">
          <a:avLst/>
        </a:prstGeom>
        <a:noFill/>
        <a:ln w="9525" cmpd="sng">
          <a:noFill/>
        </a:ln>
      </xdr:spPr>
    </xdr:pic>
    <xdr:clientData/>
  </xdr:twoCellAnchor>
  <xdr:twoCellAnchor>
    <xdr:from>
      <xdr:col>12</xdr:col>
      <xdr:colOff>590550</xdr:colOff>
      <xdr:row>51</xdr:row>
      <xdr:rowOff>95250</xdr:rowOff>
    </xdr:from>
    <xdr:to>
      <xdr:col>13</xdr:col>
      <xdr:colOff>133350</xdr:colOff>
      <xdr:row>52</xdr:row>
      <xdr:rowOff>123825</xdr:rowOff>
    </xdr:to>
    <xdr:pic>
      <xdr:nvPicPr>
        <xdr:cNvPr id="8" name="Picture 8"/>
        <xdr:cNvPicPr preferRelativeResize="1">
          <a:picLocks noChangeAspect="1"/>
        </xdr:cNvPicPr>
      </xdr:nvPicPr>
      <xdr:blipFill>
        <a:blip r:link="rId2"/>
        <a:stretch>
          <a:fillRect/>
        </a:stretch>
      </xdr:blipFill>
      <xdr:spPr>
        <a:xfrm>
          <a:off x="15163800" y="10553700"/>
          <a:ext cx="800100" cy="228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95250</xdr:rowOff>
    </xdr:from>
    <xdr:to>
      <xdr:col>1</xdr:col>
      <xdr:colOff>0</xdr:colOff>
      <xdr:row>52</xdr:row>
      <xdr:rowOff>133350</xdr:rowOff>
    </xdr:to>
    <xdr:pic>
      <xdr:nvPicPr>
        <xdr:cNvPr id="1" name="Picture 1"/>
        <xdr:cNvPicPr preferRelativeResize="1">
          <a:picLocks noChangeAspect="1"/>
        </xdr:cNvPicPr>
      </xdr:nvPicPr>
      <xdr:blipFill>
        <a:blip r:link="rId1"/>
        <a:stretch>
          <a:fillRect/>
        </a:stretch>
      </xdr:blipFill>
      <xdr:spPr>
        <a:xfrm>
          <a:off x="0" y="10553700"/>
          <a:ext cx="314325" cy="238125"/>
        </a:xfrm>
        <a:prstGeom prst="rect">
          <a:avLst/>
        </a:prstGeom>
        <a:noFill/>
        <a:ln w="9525" cmpd="sng">
          <a:noFill/>
        </a:ln>
      </xdr:spPr>
    </xdr:pic>
    <xdr:clientData/>
  </xdr:twoCellAnchor>
  <xdr:twoCellAnchor>
    <xdr:from>
      <xdr:col>0</xdr:col>
      <xdr:colOff>28575</xdr:colOff>
      <xdr:row>114</xdr:row>
      <xdr:rowOff>76200</xdr:rowOff>
    </xdr:from>
    <xdr:to>
      <xdr:col>1</xdr:col>
      <xdr:colOff>28575</xdr:colOff>
      <xdr:row>115</xdr:row>
      <xdr:rowOff>114300</xdr:rowOff>
    </xdr:to>
    <xdr:pic>
      <xdr:nvPicPr>
        <xdr:cNvPr id="2" name="Picture 2"/>
        <xdr:cNvPicPr preferRelativeResize="1">
          <a:picLocks noChangeAspect="1"/>
        </xdr:cNvPicPr>
      </xdr:nvPicPr>
      <xdr:blipFill>
        <a:blip r:link="rId1"/>
        <a:stretch>
          <a:fillRect/>
        </a:stretch>
      </xdr:blipFill>
      <xdr:spPr>
        <a:xfrm>
          <a:off x="28575" y="23536275"/>
          <a:ext cx="314325" cy="238125"/>
        </a:xfrm>
        <a:prstGeom prst="rect">
          <a:avLst/>
        </a:prstGeom>
        <a:noFill/>
        <a:ln w="9525" cmpd="sng">
          <a:noFill/>
        </a:ln>
      </xdr:spPr>
    </xdr:pic>
    <xdr:clientData/>
  </xdr:twoCellAnchor>
  <xdr:twoCellAnchor>
    <xdr:from>
      <xdr:col>0</xdr:col>
      <xdr:colOff>19050</xdr:colOff>
      <xdr:row>172</xdr:row>
      <xdr:rowOff>104775</xdr:rowOff>
    </xdr:from>
    <xdr:to>
      <xdr:col>1</xdr:col>
      <xdr:colOff>19050</xdr:colOff>
      <xdr:row>173</xdr:row>
      <xdr:rowOff>142875</xdr:rowOff>
    </xdr:to>
    <xdr:pic>
      <xdr:nvPicPr>
        <xdr:cNvPr id="3" name="Picture 3"/>
        <xdr:cNvPicPr preferRelativeResize="1">
          <a:picLocks noChangeAspect="1"/>
        </xdr:cNvPicPr>
      </xdr:nvPicPr>
      <xdr:blipFill>
        <a:blip r:link="rId1"/>
        <a:stretch>
          <a:fillRect/>
        </a:stretch>
      </xdr:blipFill>
      <xdr:spPr>
        <a:xfrm>
          <a:off x="19050" y="35175825"/>
          <a:ext cx="314325" cy="238125"/>
        </a:xfrm>
        <a:prstGeom prst="rect">
          <a:avLst/>
        </a:prstGeom>
        <a:noFill/>
        <a:ln w="9525" cmpd="sng">
          <a:noFill/>
        </a:ln>
      </xdr:spPr>
    </xdr:pic>
    <xdr:clientData/>
  </xdr:twoCellAnchor>
  <xdr:twoCellAnchor>
    <xdr:from>
      <xdr:col>0</xdr:col>
      <xdr:colOff>28575</xdr:colOff>
      <xdr:row>241</xdr:row>
      <xdr:rowOff>104775</xdr:rowOff>
    </xdr:from>
    <xdr:to>
      <xdr:col>1</xdr:col>
      <xdr:colOff>28575</xdr:colOff>
      <xdr:row>242</xdr:row>
      <xdr:rowOff>142875</xdr:rowOff>
    </xdr:to>
    <xdr:pic>
      <xdr:nvPicPr>
        <xdr:cNvPr id="4" name="Picture 4"/>
        <xdr:cNvPicPr preferRelativeResize="1">
          <a:picLocks noChangeAspect="1"/>
        </xdr:cNvPicPr>
      </xdr:nvPicPr>
      <xdr:blipFill>
        <a:blip r:link="rId1"/>
        <a:stretch>
          <a:fillRect/>
        </a:stretch>
      </xdr:blipFill>
      <xdr:spPr>
        <a:xfrm>
          <a:off x="28575" y="48987075"/>
          <a:ext cx="314325" cy="238125"/>
        </a:xfrm>
        <a:prstGeom prst="rect">
          <a:avLst/>
        </a:prstGeom>
        <a:noFill/>
        <a:ln w="9525" cmpd="sng">
          <a:noFill/>
        </a:ln>
      </xdr:spPr>
    </xdr:pic>
    <xdr:clientData/>
  </xdr:twoCellAnchor>
  <xdr:twoCellAnchor>
    <xdr:from>
      <xdr:col>12</xdr:col>
      <xdr:colOff>581025</xdr:colOff>
      <xdr:row>241</xdr:row>
      <xdr:rowOff>47625</xdr:rowOff>
    </xdr:from>
    <xdr:to>
      <xdr:col>13</xdr:col>
      <xdr:colOff>123825</xdr:colOff>
      <xdr:row>242</xdr:row>
      <xdr:rowOff>76200</xdr:rowOff>
    </xdr:to>
    <xdr:pic>
      <xdr:nvPicPr>
        <xdr:cNvPr id="5" name="Picture 5"/>
        <xdr:cNvPicPr preferRelativeResize="1">
          <a:picLocks noChangeAspect="1"/>
        </xdr:cNvPicPr>
      </xdr:nvPicPr>
      <xdr:blipFill>
        <a:blip r:link="rId2"/>
        <a:stretch>
          <a:fillRect/>
        </a:stretch>
      </xdr:blipFill>
      <xdr:spPr>
        <a:xfrm>
          <a:off x="15154275" y="48929925"/>
          <a:ext cx="800100" cy="228600"/>
        </a:xfrm>
        <a:prstGeom prst="rect">
          <a:avLst/>
        </a:prstGeom>
        <a:noFill/>
        <a:ln w="9525" cmpd="sng">
          <a:noFill/>
        </a:ln>
      </xdr:spPr>
    </xdr:pic>
    <xdr:clientData/>
  </xdr:twoCellAnchor>
  <xdr:twoCellAnchor>
    <xdr:from>
      <xdr:col>12</xdr:col>
      <xdr:colOff>561975</xdr:colOff>
      <xdr:row>172</xdr:row>
      <xdr:rowOff>85725</xdr:rowOff>
    </xdr:from>
    <xdr:to>
      <xdr:col>13</xdr:col>
      <xdr:colOff>104775</xdr:colOff>
      <xdr:row>173</xdr:row>
      <xdr:rowOff>114300</xdr:rowOff>
    </xdr:to>
    <xdr:pic>
      <xdr:nvPicPr>
        <xdr:cNvPr id="6" name="Picture 6"/>
        <xdr:cNvPicPr preferRelativeResize="1">
          <a:picLocks noChangeAspect="1"/>
        </xdr:cNvPicPr>
      </xdr:nvPicPr>
      <xdr:blipFill>
        <a:blip r:link="rId2"/>
        <a:stretch>
          <a:fillRect/>
        </a:stretch>
      </xdr:blipFill>
      <xdr:spPr>
        <a:xfrm>
          <a:off x="15135225" y="35156775"/>
          <a:ext cx="800100" cy="228600"/>
        </a:xfrm>
        <a:prstGeom prst="rect">
          <a:avLst/>
        </a:prstGeom>
        <a:noFill/>
        <a:ln w="9525" cmpd="sng">
          <a:noFill/>
        </a:ln>
      </xdr:spPr>
    </xdr:pic>
    <xdr:clientData/>
  </xdr:twoCellAnchor>
  <xdr:twoCellAnchor>
    <xdr:from>
      <xdr:col>12</xdr:col>
      <xdr:colOff>533400</xdr:colOff>
      <xdr:row>114</xdr:row>
      <xdr:rowOff>66675</xdr:rowOff>
    </xdr:from>
    <xdr:to>
      <xdr:col>13</xdr:col>
      <xdr:colOff>76200</xdr:colOff>
      <xdr:row>115</xdr:row>
      <xdr:rowOff>95250</xdr:rowOff>
    </xdr:to>
    <xdr:pic>
      <xdr:nvPicPr>
        <xdr:cNvPr id="7" name="Picture 7"/>
        <xdr:cNvPicPr preferRelativeResize="1">
          <a:picLocks noChangeAspect="1"/>
        </xdr:cNvPicPr>
      </xdr:nvPicPr>
      <xdr:blipFill>
        <a:blip r:link="rId2"/>
        <a:stretch>
          <a:fillRect/>
        </a:stretch>
      </xdr:blipFill>
      <xdr:spPr>
        <a:xfrm>
          <a:off x="15106650" y="23526750"/>
          <a:ext cx="800100" cy="228600"/>
        </a:xfrm>
        <a:prstGeom prst="rect">
          <a:avLst/>
        </a:prstGeom>
        <a:noFill/>
        <a:ln w="9525" cmpd="sng">
          <a:noFill/>
        </a:ln>
      </xdr:spPr>
    </xdr:pic>
    <xdr:clientData/>
  </xdr:twoCellAnchor>
  <xdr:twoCellAnchor>
    <xdr:from>
      <xdr:col>12</xdr:col>
      <xdr:colOff>590550</xdr:colOff>
      <xdr:row>51</xdr:row>
      <xdr:rowOff>95250</xdr:rowOff>
    </xdr:from>
    <xdr:to>
      <xdr:col>13</xdr:col>
      <xdr:colOff>133350</xdr:colOff>
      <xdr:row>52</xdr:row>
      <xdr:rowOff>123825</xdr:rowOff>
    </xdr:to>
    <xdr:pic>
      <xdr:nvPicPr>
        <xdr:cNvPr id="8" name="Picture 8"/>
        <xdr:cNvPicPr preferRelativeResize="1">
          <a:picLocks noChangeAspect="1"/>
        </xdr:cNvPicPr>
      </xdr:nvPicPr>
      <xdr:blipFill>
        <a:blip r:link="rId2"/>
        <a:stretch>
          <a:fillRect/>
        </a:stretch>
      </xdr:blipFill>
      <xdr:spPr>
        <a:xfrm>
          <a:off x="15163800" y="10553700"/>
          <a:ext cx="800100" cy="228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95250</xdr:rowOff>
    </xdr:from>
    <xdr:to>
      <xdr:col>1</xdr:col>
      <xdr:colOff>0</xdr:colOff>
      <xdr:row>52</xdr:row>
      <xdr:rowOff>133350</xdr:rowOff>
    </xdr:to>
    <xdr:pic>
      <xdr:nvPicPr>
        <xdr:cNvPr id="1" name="Picture 1"/>
        <xdr:cNvPicPr preferRelativeResize="1">
          <a:picLocks noChangeAspect="1"/>
        </xdr:cNvPicPr>
      </xdr:nvPicPr>
      <xdr:blipFill>
        <a:blip r:link="rId1"/>
        <a:stretch>
          <a:fillRect/>
        </a:stretch>
      </xdr:blipFill>
      <xdr:spPr>
        <a:xfrm>
          <a:off x="0" y="10553700"/>
          <a:ext cx="314325" cy="238125"/>
        </a:xfrm>
        <a:prstGeom prst="rect">
          <a:avLst/>
        </a:prstGeom>
        <a:noFill/>
        <a:ln w="9525" cmpd="sng">
          <a:noFill/>
        </a:ln>
      </xdr:spPr>
    </xdr:pic>
    <xdr:clientData/>
  </xdr:twoCellAnchor>
  <xdr:twoCellAnchor>
    <xdr:from>
      <xdr:col>0</xdr:col>
      <xdr:colOff>28575</xdr:colOff>
      <xdr:row>114</xdr:row>
      <xdr:rowOff>76200</xdr:rowOff>
    </xdr:from>
    <xdr:to>
      <xdr:col>1</xdr:col>
      <xdr:colOff>28575</xdr:colOff>
      <xdr:row>115</xdr:row>
      <xdr:rowOff>114300</xdr:rowOff>
    </xdr:to>
    <xdr:pic>
      <xdr:nvPicPr>
        <xdr:cNvPr id="2" name="Picture 2"/>
        <xdr:cNvPicPr preferRelativeResize="1">
          <a:picLocks noChangeAspect="1"/>
        </xdr:cNvPicPr>
      </xdr:nvPicPr>
      <xdr:blipFill>
        <a:blip r:link="rId1"/>
        <a:stretch>
          <a:fillRect/>
        </a:stretch>
      </xdr:blipFill>
      <xdr:spPr>
        <a:xfrm>
          <a:off x="28575" y="23536275"/>
          <a:ext cx="314325" cy="238125"/>
        </a:xfrm>
        <a:prstGeom prst="rect">
          <a:avLst/>
        </a:prstGeom>
        <a:noFill/>
        <a:ln w="9525" cmpd="sng">
          <a:noFill/>
        </a:ln>
      </xdr:spPr>
    </xdr:pic>
    <xdr:clientData/>
  </xdr:twoCellAnchor>
  <xdr:twoCellAnchor>
    <xdr:from>
      <xdr:col>0</xdr:col>
      <xdr:colOff>19050</xdr:colOff>
      <xdr:row>172</xdr:row>
      <xdr:rowOff>104775</xdr:rowOff>
    </xdr:from>
    <xdr:to>
      <xdr:col>1</xdr:col>
      <xdr:colOff>19050</xdr:colOff>
      <xdr:row>173</xdr:row>
      <xdr:rowOff>142875</xdr:rowOff>
    </xdr:to>
    <xdr:pic>
      <xdr:nvPicPr>
        <xdr:cNvPr id="3" name="Picture 3"/>
        <xdr:cNvPicPr preferRelativeResize="1">
          <a:picLocks noChangeAspect="1"/>
        </xdr:cNvPicPr>
      </xdr:nvPicPr>
      <xdr:blipFill>
        <a:blip r:link="rId1"/>
        <a:stretch>
          <a:fillRect/>
        </a:stretch>
      </xdr:blipFill>
      <xdr:spPr>
        <a:xfrm>
          <a:off x="19050" y="35175825"/>
          <a:ext cx="314325" cy="238125"/>
        </a:xfrm>
        <a:prstGeom prst="rect">
          <a:avLst/>
        </a:prstGeom>
        <a:noFill/>
        <a:ln w="9525" cmpd="sng">
          <a:noFill/>
        </a:ln>
      </xdr:spPr>
    </xdr:pic>
    <xdr:clientData/>
  </xdr:twoCellAnchor>
  <xdr:twoCellAnchor>
    <xdr:from>
      <xdr:col>0</xdr:col>
      <xdr:colOff>28575</xdr:colOff>
      <xdr:row>241</xdr:row>
      <xdr:rowOff>104775</xdr:rowOff>
    </xdr:from>
    <xdr:to>
      <xdr:col>1</xdr:col>
      <xdr:colOff>28575</xdr:colOff>
      <xdr:row>242</xdr:row>
      <xdr:rowOff>142875</xdr:rowOff>
    </xdr:to>
    <xdr:pic>
      <xdr:nvPicPr>
        <xdr:cNvPr id="4" name="Picture 4"/>
        <xdr:cNvPicPr preferRelativeResize="1">
          <a:picLocks noChangeAspect="1"/>
        </xdr:cNvPicPr>
      </xdr:nvPicPr>
      <xdr:blipFill>
        <a:blip r:link="rId1"/>
        <a:stretch>
          <a:fillRect/>
        </a:stretch>
      </xdr:blipFill>
      <xdr:spPr>
        <a:xfrm>
          <a:off x="28575" y="48987075"/>
          <a:ext cx="314325" cy="238125"/>
        </a:xfrm>
        <a:prstGeom prst="rect">
          <a:avLst/>
        </a:prstGeom>
        <a:noFill/>
        <a:ln w="9525" cmpd="sng">
          <a:noFill/>
        </a:ln>
      </xdr:spPr>
    </xdr:pic>
    <xdr:clientData/>
  </xdr:twoCellAnchor>
  <xdr:twoCellAnchor>
    <xdr:from>
      <xdr:col>12</xdr:col>
      <xdr:colOff>581025</xdr:colOff>
      <xdr:row>241</xdr:row>
      <xdr:rowOff>47625</xdr:rowOff>
    </xdr:from>
    <xdr:to>
      <xdr:col>13</xdr:col>
      <xdr:colOff>123825</xdr:colOff>
      <xdr:row>242</xdr:row>
      <xdr:rowOff>76200</xdr:rowOff>
    </xdr:to>
    <xdr:pic>
      <xdr:nvPicPr>
        <xdr:cNvPr id="5" name="Picture 5"/>
        <xdr:cNvPicPr preferRelativeResize="1">
          <a:picLocks noChangeAspect="1"/>
        </xdr:cNvPicPr>
      </xdr:nvPicPr>
      <xdr:blipFill>
        <a:blip r:link="rId2"/>
        <a:stretch>
          <a:fillRect/>
        </a:stretch>
      </xdr:blipFill>
      <xdr:spPr>
        <a:xfrm>
          <a:off x="15220950" y="48929925"/>
          <a:ext cx="800100" cy="228600"/>
        </a:xfrm>
        <a:prstGeom prst="rect">
          <a:avLst/>
        </a:prstGeom>
        <a:noFill/>
        <a:ln w="9525" cmpd="sng">
          <a:noFill/>
        </a:ln>
      </xdr:spPr>
    </xdr:pic>
    <xdr:clientData/>
  </xdr:twoCellAnchor>
  <xdr:twoCellAnchor>
    <xdr:from>
      <xdr:col>12</xdr:col>
      <xdr:colOff>561975</xdr:colOff>
      <xdr:row>172</xdr:row>
      <xdr:rowOff>85725</xdr:rowOff>
    </xdr:from>
    <xdr:to>
      <xdr:col>13</xdr:col>
      <xdr:colOff>104775</xdr:colOff>
      <xdr:row>173</xdr:row>
      <xdr:rowOff>114300</xdr:rowOff>
    </xdr:to>
    <xdr:pic>
      <xdr:nvPicPr>
        <xdr:cNvPr id="6" name="Picture 6"/>
        <xdr:cNvPicPr preferRelativeResize="1">
          <a:picLocks noChangeAspect="1"/>
        </xdr:cNvPicPr>
      </xdr:nvPicPr>
      <xdr:blipFill>
        <a:blip r:link="rId2"/>
        <a:stretch>
          <a:fillRect/>
        </a:stretch>
      </xdr:blipFill>
      <xdr:spPr>
        <a:xfrm>
          <a:off x="15201900" y="35156775"/>
          <a:ext cx="800100" cy="228600"/>
        </a:xfrm>
        <a:prstGeom prst="rect">
          <a:avLst/>
        </a:prstGeom>
        <a:noFill/>
        <a:ln w="9525" cmpd="sng">
          <a:noFill/>
        </a:ln>
      </xdr:spPr>
    </xdr:pic>
    <xdr:clientData/>
  </xdr:twoCellAnchor>
  <xdr:twoCellAnchor>
    <xdr:from>
      <xdr:col>12</xdr:col>
      <xdr:colOff>533400</xdr:colOff>
      <xdr:row>114</xdr:row>
      <xdr:rowOff>66675</xdr:rowOff>
    </xdr:from>
    <xdr:to>
      <xdr:col>13</xdr:col>
      <xdr:colOff>76200</xdr:colOff>
      <xdr:row>115</xdr:row>
      <xdr:rowOff>95250</xdr:rowOff>
    </xdr:to>
    <xdr:pic>
      <xdr:nvPicPr>
        <xdr:cNvPr id="7" name="Picture 7"/>
        <xdr:cNvPicPr preferRelativeResize="1">
          <a:picLocks noChangeAspect="1"/>
        </xdr:cNvPicPr>
      </xdr:nvPicPr>
      <xdr:blipFill>
        <a:blip r:link="rId2"/>
        <a:stretch>
          <a:fillRect/>
        </a:stretch>
      </xdr:blipFill>
      <xdr:spPr>
        <a:xfrm>
          <a:off x="15173325" y="23526750"/>
          <a:ext cx="800100" cy="228600"/>
        </a:xfrm>
        <a:prstGeom prst="rect">
          <a:avLst/>
        </a:prstGeom>
        <a:noFill/>
        <a:ln w="9525" cmpd="sng">
          <a:noFill/>
        </a:ln>
      </xdr:spPr>
    </xdr:pic>
    <xdr:clientData/>
  </xdr:twoCellAnchor>
  <xdr:twoCellAnchor>
    <xdr:from>
      <xdr:col>12</xdr:col>
      <xdr:colOff>590550</xdr:colOff>
      <xdr:row>51</xdr:row>
      <xdr:rowOff>95250</xdr:rowOff>
    </xdr:from>
    <xdr:to>
      <xdr:col>13</xdr:col>
      <xdr:colOff>133350</xdr:colOff>
      <xdr:row>52</xdr:row>
      <xdr:rowOff>123825</xdr:rowOff>
    </xdr:to>
    <xdr:pic>
      <xdr:nvPicPr>
        <xdr:cNvPr id="8" name="Picture 8"/>
        <xdr:cNvPicPr preferRelativeResize="1">
          <a:picLocks noChangeAspect="1"/>
        </xdr:cNvPicPr>
      </xdr:nvPicPr>
      <xdr:blipFill>
        <a:blip r:link="rId2"/>
        <a:stretch>
          <a:fillRect/>
        </a:stretch>
      </xdr:blipFill>
      <xdr:spPr>
        <a:xfrm>
          <a:off x="15230475" y="10553700"/>
          <a:ext cx="800100" cy="2286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95250</xdr:rowOff>
    </xdr:from>
    <xdr:to>
      <xdr:col>1</xdr:col>
      <xdr:colOff>0</xdr:colOff>
      <xdr:row>52</xdr:row>
      <xdr:rowOff>133350</xdr:rowOff>
    </xdr:to>
    <xdr:pic>
      <xdr:nvPicPr>
        <xdr:cNvPr id="1" name="Picture 1"/>
        <xdr:cNvPicPr preferRelativeResize="1">
          <a:picLocks noChangeAspect="1"/>
        </xdr:cNvPicPr>
      </xdr:nvPicPr>
      <xdr:blipFill>
        <a:blip r:link="rId1"/>
        <a:stretch>
          <a:fillRect/>
        </a:stretch>
      </xdr:blipFill>
      <xdr:spPr>
        <a:xfrm>
          <a:off x="0" y="10553700"/>
          <a:ext cx="314325" cy="238125"/>
        </a:xfrm>
        <a:prstGeom prst="rect">
          <a:avLst/>
        </a:prstGeom>
        <a:noFill/>
        <a:ln w="9525" cmpd="sng">
          <a:noFill/>
        </a:ln>
      </xdr:spPr>
    </xdr:pic>
    <xdr:clientData/>
  </xdr:twoCellAnchor>
  <xdr:twoCellAnchor>
    <xdr:from>
      <xdr:col>0</xdr:col>
      <xdr:colOff>28575</xdr:colOff>
      <xdr:row>114</xdr:row>
      <xdr:rowOff>76200</xdr:rowOff>
    </xdr:from>
    <xdr:to>
      <xdr:col>1</xdr:col>
      <xdr:colOff>28575</xdr:colOff>
      <xdr:row>115</xdr:row>
      <xdr:rowOff>114300</xdr:rowOff>
    </xdr:to>
    <xdr:pic>
      <xdr:nvPicPr>
        <xdr:cNvPr id="2" name="Picture 2"/>
        <xdr:cNvPicPr preferRelativeResize="1">
          <a:picLocks noChangeAspect="1"/>
        </xdr:cNvPicPr>
      </xdr:nvPicPr>
      <xdr:blipFill>
        <a:blip r:link="rId1"/>
        <a:stretch>
          <a:fillRect/>
        </a:stretch>
      </xdr:blipFill>
      <xdr:spPr>
        <a:xfrm>
          <a:off x="28575" y="23536275"/>
          <a:ext cx="314325" cy="238125"/>
        </a:xfrm>
        <a:prstGeom prst="rect">
          <a:avLst/>
        </a:prstGeom>
        <a:noFill/>
        <a:ln w="9525" cmpd="sng">
          <a:noFill/>
        </a:ln>
      </xdr:spPr>
    </xdr:pic>
    <xdr:clientData/>
  </xdr:twoCellAnchor>
  <xdr:twoCellAnchor>
    <xdr:from>
      <xdr:col>0</xdr:col>
      <xdr:colOff>19050</xdr:colOff>
      <xdr:row>172</xdr:row>
      <xdr:rowOff>104775</xdr:rowOff>
    </xdr:from>
    <xdr:to>
      <xdr:col>1</xdr:col>
      <xdr:colOff>19050</xdr:colOff>
      <xdr:row>173</xdr:row>
      <xdr:rowOff>142875</xdr:rowOff>
    </xdr:to>
    <xdr:pic>
      <xdr:nvPicPr>
        <xdr:cNvPr id="3" name="Picture 3"/>
        <xdr:cNvPicPr preferRelativeResize="1">
          <a:picLocks noChangeAspect="1"/>
        </xdr:cNvPicPr>
      </xdr:nvPicPr>
      <xdr:blipFill>
        <a:blip r:link="rId1"/>
        <a:stretch>
          <a:fillRect/>
        </a:stretch>
      </xdr:blipFill>
      <xdr:spPr>
        <a:xfrm>
          <a:off x="19050" y="35175825"/>
          <a:ext cx="314325" cy="238125"/>
        </a:xfrm>
        <a:prstGeom prst="rect">
          <a:avLst/>
        </a:prstGeom>
        <a:noFill/>
        <a:ln w="9525" cmpd="sng">
          <a:noFill/>
        </a:ln>
      </xdr:spPr>
    </xdr:pic>
    <xdr:clientData/>
  </xdr:twoCellAnchor>
  <xdr:twoCellAnchor>
    <xdr:from>
      <xdr:col>0</xdr:col>
      <xdr:colOff>28575</xdr:colOff>
      <xdr:row>241</xdr:row>
      <xdr:rowOff>104775</xdr:rowOff>
    </xdr:from>
    <xdr:to>
      <xdr:col>1</xdr:col>
      <xdr:colOff>28575</xdr:colOff>
      <xdr:row>242</xdr:row>
      <xdr:rowOff>142875</xdr:rowOff>
    </xdr:to>
    <xdr:pic>
      <xdr:nvPicPr>
        <xdr:cNvPr id="4" name="Picture 4"/>
        <xdr:cNvPicPr preferRelativeResize="1">
          <a:picLocks noChangeAspect="1"/>
        </xdr:cNvPicPr>
      </xdr:nvPicPr>
      <xdr:blipFill>
        <a:blip r:link="rId1"/>
        <a:stretch>
          <a:fillRect/>
        </a:stretch>
      </xdr:blipFill>
      <xdr:spPr>
        <a:xfrm>
          <a:off x="28575" y="48987075"/>
          <a:ext cx="314325" cy="238125"/>
        </a:xfrm>
        <a:prstGeom prst="rect">
          <a:avLst/>
        </a:prstGeom>
        <a:noFill/>
        <a:ln w="9525" cmpd="sng">
          <a:noFill/>
        </a:ln>
      </xdr:spPr>
    </xdr:pic>
    <xdr:clientData/>
  </xdr:twoCellAnchor>
  <xdr:twoCellAnchor>
    <xdr:from>
      <xdr:col>12</xdr:col>
      <xdr:colOff>581025</xdr:colOff>
      <xdr:row>241</xdr:row>
      <xdr:rowOff>47625</xdr:rowOff>
    </xdr:from>
    <xdr:to>
      <xdr:col>13</xdr:col>
      <xdr:colOff>123825</xdr:colOff>
      <xdr:row>242</xdr:row>
      <xdr:rowOff>76200</xdr:rowOff>
    </xdr:to>
    <xdr:pic>
      <xdr:nvPicPr>
        <xdr:cNvPr id="5" name="Picture 5"/>
        <xdr:cNvPicPr preferRelativeResize="1">
          <a:picLocks noChangeAspect="1"/>
        </xdr:cNvPicPr>
      </xdr:nvPicPr>
      <xdr:blipFill>
        <a:blip r:link="rId2"/>
        <a:stretch>
          <a:fillRect/>
        </a:stretch>
      </xdr:blipFill>
      <xdr:spPr>
        <a:xfrm>
          <a:off x="15220950" y="48929925"/>
          <a:ext cx="800100" cy="228600"/>
        </a:xfrm>
        <a:prstGeom prst="rect">
          <a:avLst/>
        </a:prstGeom>
        <a:noFill/>
        <a:ln w="9525" cmpd="sng">
          <a:noFill/>
        </a:ln>
      </xdr:spPr>
    </xdr:pic>
    <xdr:clientData/>
  </xdr:twoCellAnchor>
  <xdr:twoCellAnchor>
    <xdr:from>
      <xdr:col>12</xdr:col>
      <xdr:colOff>561975</xdr:colOff>
      <xdr:row>172</xdr:row>
      <xdr:rowOff>85725</xdr:rowOff>
    </xdr:from>
    <xdr:to>
      <xdr:col>13</xdr:col>
      <xdr:colOff>104775</xdr:colOff>
      <xdr:row>173</xdr:row>
      <xdr:rowOff>114300</xdr:rowOff>
    </xdr:to>
    <xdr:pic>
      <xdr:nvPicPr>
        <xdr:cNvPr id="6" name="Picture 6"/>
        <xdr:cNvPicPr preferRelativeResize="1">
          <a:picLocks noChangeAspect="1"/>
        </xdr:cNvPicPr>
      </xdr:nvPicPr>
      <xdr:blipFill>
        <a:blip r:link="rId2"/>
        <a:stretch>
          <a:fillRect/>
        </a:stretch>
      </xdr:blipFill>
      <xdr:spPr>
        <a:xfrm>
          <a:off x="15201900" y="35156775"/>
          <a:ext cx="800100" cy="228600"/>
        </a:xfrm>
        <a:prstGeom prst="rect">
          <a:avLst/>
        </a:prstGeom>
        <a:noFill/>
        <a:ln w="9525" cmpd="sng">
          <a:noFill/>
        </a:ln>
      </xdr:spPr>
    </xdr:pic>
    <xdr:clientData/>
  </xdr:twoCellAnchor>
  <xdr:twoCellAnchor>
    <xdr:from>
      <xdr:col>12</xdr:col>
      <xdr:colOff>533400</xdr:colOff>
      <xdr:row>114</xdr:row>
      <xdr:rowOff>66675</xdr:rowOff>
    </xdr:from>
    <xdr:to>
      <xdr:col>13</xdr:col>
      <xdr:colOff>76200</xdr:colOff>
      <xdr:row>115</xdr:row>
      <xdr:rowOff>95250</xdr:rowOff>
    </xdr:to>
    <xdr:pic>
      <xdr:nvPicPr>
        <xdr:cNvPr id="7" name="Picture 7"/>
        <xdr:cNvPicPr preferRelativeResize="1">
          <a:picLocks noChangeAspect="1"/>
        </xdr:cNvPicPr>
      </xdr:nvPicPr>
      <xdr:blipFill>
        <a:blip r:link="rId2"/>
        <a:stretch>
          <a:fillRect/>
        </a:stretch>
      </xdr:blipFill>
      <xdr:spPr>
        <a:xfrm>
          <a:off x="15173325" y="23526750"/>
          <a:ext cx="800100" cy="228600"/>
        </a:xfrm>
        <a:prstGeom prst="rect">
          <a:avLst/>
        </a:prstGeom>
        <a:noFill/>
        <a:ln w="9525" cmpd="sng">
          <a:noFill/>
        </a:ln>
      </xdr:spPr>
    </xdr:pic>
    <xdr:clientData/>
  </xdr:twoCellAnchor>
  <xdr:twoCellAnchor>
    <xdr:from>
      <xdr:col>12</xdr:col>
      <xdr:colOff>590550</xdr:colOff>
      <xdr:row>51</xdr:row>
      <xdr:rowOff>95250</xdr:rowOff>
    </xdr:from>
    <xdr:to>
      <xdr:col>13</xdr:col>
      <xdr:colOff>133350</xdr:colOff>
      <xdr:row>52</xdr:row>
      <xdr:rowOff>123825</xdr:rowOff>
    </xdr:to>
    <xdr:pic>
      <xdr:nvPicPr>
        <xdr:cNvPr id="8" name="Picture 8"/>
        <xdr:cNvPicPr preferRelativeResize="1">
          <a:picLocks noChangeAspect="1"/>
        </xdr:cNvPicPr>
      </xdr:nvPicPr>
      <xdr:blipFill>
        <a:blip r:link="rId2"/>
        <a:stretch>
          <a:fillRect/>
        </a:stretch>
      </xdr:blipFill>
      <xdr:spPr>
        <a:xfrm>
          <a:off x="15230475" y="10553700"/>
          <a:ext cx="800100" cy="2286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95250</xdr:rowOff>
    </xdr:from>
    <xdr:to>
      <xdr:col>1</xdr:col>
      <xdr:colOff>0</xdr:colOff>
      <xdr:row>52</xdr:row>
      <xdr:rowOff>133350</xdr:rowOff>
    </xdr:to>
    <xdr:pic>
      <xdr:nvPicPr>
        <xdr:cNvPr id="1" name="Picture 1"/>
        <xdr:cNvPicPr preferRelativeResize="1">
          <a:picLocks noChangeAspect="1"/>
        </xdr:cNvPicPr>
      </xdr:nvPicPr>
      <xdr:blipFill>
        <a:blip r:link="rId1"/>
        <a:stretch>
          <a:fillRect/>
        </a:stretch>
      </xdr:blipFill>
      <xdr:spPr>
        <a:xfrm>
          <a:off x="0" y="10553700"/>
          <a:ext cx="314325" cy="238125"/>
        </a:xfrm>
        <a:prstGeom prst="rect">
          <a:avLst/>
        </a:prstGeom>
        <a:noFill/>
        <a:ln w="9525" cmpd="sng">
          <a:noFill/>
        </a:ln>
      </xdr:spPr>
    </xdr:pic>
    <xdr:clientData/>
  </xdr:twoCellAnchor>
  <xdr:twoCellAnchor>
    <xdr:from>
      <xdr:col>0</xdr:col>
      <xdr:colOff>28575</xdr:colOff>
      <xdr:row>117</xdr:row>
      <xdr:rowOff>76200</xdr:rowOff>
    </xdr:from>
    <xdr:to>
      <xdr:col>1</xdr:col>
      <xdr:colOff>28575</xdr:colOff>
      <xdr:row>118</xdr:row>
      <xdr:rowOff>114300</xdr:rowOff>
    </xdr:to>
    <xdr:pic>
      <xdr:nvPicPr>
        <xdr:cNvPr id="2" name="Picture 2"/>
        <xdr:cNvPicPr preferRelativeResize="1">
          <a:picLocks noChangeAspect="1"/>
        </xdr:cNvPicPr>
      </xdr:nvPicPr>
      <xdr:blipFill>
        <a:blip r:link="rId1"/>
        <a:stretch>
          <a:fillRect/>
        </a:stretch>
      </xdr:blipFill>
      <xdr:spPr>
        <a:xfrm>
          <a:off x="28575" y="24136350"/>
          <a:ext cx="314325" cy="238125"/>
        </a:xfrm>
        <a:prstGeom prst="rect">
          <a:avLst/>
        </a:prstGeom>
        <a:noFill/>
        <a:ln w="9525" cmpd="sng">
          <a:noFill/>
        </a:ln>
      </xdr:spPr>
    </xdr:pic>
    <xdr:clientData/>
  </xdr:twoCellAnchor>
  <xdr:twoCellAnchor>
    <xdr:from>
      <xdr:col>0</xdr:col>
      <xdr:colOff>19050</xdr:colOff>
      <xdr:row>176</xdr:row>
      <xdr:rowOff>104775</xdr:rowOff>
    </xdr:from>
    <xdr:to>
      <xdr:col>1</xdr:col>
      <xdr:colOff>19050</xdr:colOff>
      <xdr:row>177</xdr:row>
      <xdr:rowOff>142875</xdr:rowOff>
    </xdr:to>
    <xdr:pic>
      <xdr:nvPicPr>
        <xdr:cNvPr id="3" name="Picture 3"/>
        <xdr:cNvPicPr preferRelativeResize="1">
          <a:picLocks noChangeAspect="1"/>
        </xdr:cNvPicPr>
      </xdr:nvPicPr>
      <xdr:blipFill>
        <a:blip r:link="rId1"/>
        <a:stretch>
          <a:fillRect/>
        </a:stretch>
      </xdr:blipFill>
      <xdr:spPr>
        <a:xfrm>
          <a:off x="19050" y="35975925"/>
          <a:ext cx="314325" cy="238125"/>
        </a:xfrm>
        <a:prstGeom prst="rect">
          <a:avLst/>
        </a:prstGeom>
        <a:noFill/>
        <a:ln w="9525" cmpd="sng">
          <a:noFill/>
        </a:ln>
      </xdr:spPr>
    </xdr:pic>
    <xdr:clientData/>
  </xdr:twoCellAnchor>
  <xdr:twoCellAnchor>
    <xdr:from>
      <xdr:col>0</xdr:col>
      <xdr:colOff>28575</xdr:colOff>
      <xdr:row>245</xdr:row>
      <xdr:rowOff>104775</xdr:rowOff>
    </xdr:from>
    <xdr:to>
      <xdr:col>1</xdr:col>
      <xdr:colOff>28575</xdr:colOff>
      <xdr:row>246</xdr:row>
      <xdr:rowOff>142875</xdr:rowOff>
    </xdr:to>
    <xdr:pic>
      <xdr:nvPicPr>
        <xdr:cNvPr id="4" name="Picture 4"/>
        <xdr:cNvPicPr preferRelativeResize="1">
          <a:picLocks noChangeAspect="1"/>
        </xdr:cNvPicPr>
      </xdr:nvPicPr>
      <xdr:blipFill>
        <a:blip r:link="rId1"/>
        <a:stretch>
          <a:fillRect/>
        </a:stretch>
      </xdr:blipFill>
      <xdr:spPr>
        <a:xfrm>
          <a:off x="28575" y="49787175"/>
          <a:ext cx="314325" cy="238125"/>
        </a:xfrm>
        <a:prstGeom prst="rect">
          <a:avLst/>
        </a:prstGeom>
        <a:noFill/>
        <a:ln w="9525" cmpd="sng">
          <a:noFill/>
        </a:ln>
      </xdr:spPr>
    </xdr:pic>
    <xdr:clientData/>
  </xdr:twoCellAnchor>
  <xdr:twoCellAnchor>
    <xdr:from>
      <xdr:col>12</xdr:col>
      <xdr:colOff>581025</xdr:colOff>
      <xdr:row>245</xdr:row>
      <xdr:rowOff>47625</xdr:rowOff>
    </xdr:from>
    <xdr:to>
      <xdr:col>13</xdr:col>
      <xdr:colOff>123825</xdr:colOff>
      <xdr:row>246</xdr:row>
      <xdr:rowOff>76200</xdr:rowOff>
    </xdr:to>
    <xdr:pic>
      <xdr:nvPicPr>
        <xdr:cNvPr id="5" name="Picture 5"/>
        <xdr:cNvPicPr preferRelativeResize="1">
          <a:picLocks noChangeAspect="1"/>
        </xdr:cNvPicPr>
      </xdr:nvPicPr>
      <xdr:blipFill>
        <a:blip r:link="rId2"/>
        <a:stretch>
          <a:fillRect/>
        </a:stretch>
      </xdr:blipFill>
      <xdr:spPr>
        <a:xfrm>
          <a:off x="15220950" y="49730025"/>
          <a:ext cx="800100" cy="228600"/>
        </a:xfrm>
        <a:prstGeom prst="rect">
          <a:avLst/>
        </a:prstGeom>
        <a:noFill/>
        <a:ln w="9525" cmpd="sng">
          <a:noFill/>
        </a:ln>
      </xdr:spPr>
    </xdr:pic>
    <xdr:clientData/>
  </xdr:twoCellAnchor>
  <xdr:twoCellAnchor>
    <xdr:from>
      <xdr:col>12</xdr:col>
      <xdr:colOff>561975</xdr:colOff>
      <xdr:row>176</xdr:row>
      <xdr:rowOff>85725</xdr:rowOff>
    </xdr:from>
    <xdr:to>
      <xdr:col>13</xdr:col>
      <xdr:colOff>104775</xdr:colOff>
      <xdr:row>177</xdr:row>
      <xdr:rowOff>114300</xdr:rowOff>
    </xdr:to>
    <xdr:pic>
      <xdr:nvPicPr>
        <xdr:cNvPr id="6" name="Picture 6"/>
        <xdr:cNvPicPr preferRelativeResize="1">
          <a:picLocks noChangeAspect="1"/>
        </xdr:cNvPicPr>
      </xdr:nvPicPr>
      <xdr:blipFill>
        <a:blip r:link="rId2"/>
        <a:stretch>
          <a:fillRect/>
        </a:stretch>
      </xdr:blipFill>
      <xdr:spPr>
        <a:xfrm>
          <a:off x="15201900" y="35956875"/>
          <a:ext cx="800100" cy="228600"/>
        </a:xfrm>
        <a:prstGeom prst="rect">
          <a:avLst/>
        </a:prstGeom>
        <a:noFill/>
        <a:ln w="9525" cmpd="sng">
          <a:noFill/>
        </a:ln>
      </xdr:spPr>
    </xdr:pic>
    <xdr:clientData/>
  </xdr:twoCellAnchor>
  <xdr:twoCellAnchor>
    <xdr:from>
      <xdr:col>12</xdr:col>
      <xdr:colOff>533400</xdr:colOff>
      <xdr:row>117</xdr:row>
      <xdr:rowOff>66675</xdr:rowOff>
    </xdr:from>
    <xdr:to>
      <xdr:col>13</xdr:col>
      <xdr:colOff>76200</xdr:colOff>
      <xdr:row>118</xdr:row>
      <xdr:rowOff>95250</xdr:rowOff>
    </xdr:to>
    <xdr:pic>
      <xdr:nvPicPr>
        <xdr:cNvPr id="7" name="Picture 7"/>
        <xdr:cNvPicPr preferRelativeResize="1">
          <a:picLocks noChangeAspect="1"/>
        </xdr:cNvPicPr>
      </xdr:nvPicPr>
      <xdr:blipFill>
        <a:blip r:link="rId2"/>
        <a:stretch>
          <a:fillRect/>
        </a:stretch>
      </xdr:blipFill>
      <xdr:spPr>
        <a:xfrm>
          <a:off x="15173325" y="24126825"/>
          <a:ext cx="800100" cy="228600"/>
        </a:xfrm>
        <a:prstGeom prst="rect">
          <a:avLst/>
        </a:prstGeom>
        <a:noFill/>
        <a:ln w="9525" cmpd="sng">
          <a:noFill/>
        </a:ln>
      </xdr:spPr>
    </xdr:pic>
    <xdr:clientData/>
  </xdr:twoCellAnchor>
  <xdr:twoCellAnchor>
    <xdr:from>
      <xdr:col>12</xdr:col>
      <xdr:colOff>590550</xdr:colOff>
      <xdr:row>51</xdr:row>
      <xdr:rowOff>95250</xdr:rowOff>
    </xdr:from>
    <xdr:to>
      <xdr:col>13</xdr:col>
      <xdr:colOff>133350</xdr:colOff>
      <xdr:row>52</xdr:row>
      <xdr:rowOff>123825</xdr:rowOff>
    </xdr:to>
    <xdr:pic>
      <xdr:nvPicPr>
        <xdr:cNvPr id="8" name="Picture 8"/>
        <xdr:cNvPicPr preferRelativeResize="1">
          <a:picLocks noChangeAspect="1"/>
        </xdr:cNvPicPr>
      </xdr:nvPicPr>
      <xdr:blipFill>
        <a:blip r:link="rId2"/>
        <a:stretch>
          <a:fillRect/>
        </a:stretch>
      </xdr:blipFill>
      <xdr:spPr>
        <a:xfrm>
          <a:off x="15230475" y="10553700"/>
          <a:ext cx="8001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95250</xdr:rowOff>
    </xdr:from>
    <xdr:to>
      <xdr:col>1</xdr:col>
      <xdr:colOff>0</xdr:colOff>
      <xdr:row>52</xdr:row>
      <xdr:rowOff>133350</xdr:rowOff>
    </xdr:to>
    <xdr:pic>
      <xdr:nvPicPr>
        <xdr:cNvPr id="1" name="Picture 1"/>
        <xdr:cNvPicPr preferRelativeResize="1">
          <a:picLocks noChangeAspect="1"/>
        </xdr:cNvPicPr>
      </xdr:nvPicPr>
      <xdr:blipFill>
        <a:blip r:link="rId1"/>
        <a:stretch>
          <a:fillRect/>
        </a:stretch>
      </xdr:blipFill>
      <xdr:spPr>
        <a:xfrm>
          <a:off x="0" y="10553700"/>
          <a:ext cx="314325" cy="238125"/>
        </a:xfrm>
        <a:prstGeom prst="rect">
          <a:avLst/>
        </a:prstGeom>
        <a:noFill/>
        <a:ln w="9525" cmpd="sng">
          <a:noFill/>
        </a:ln>
      </xdr:spPr>
    </xdr:pic>
    <xdr:clientData/>
  </xdr:twoCellAnchor>
  <xdr:twoCellAnchor>
    <xdr:from>
      <xdr:col>0</xdr:col>
      <xdr:colOff>19050</xdr:colOff>
      <xdr:row>114</xdr:row>
      <xdr:rowOff>66675</xdr:rowOff>
    </xdr:from>
    <xdr:to>
      <xdr:col>1</xdr:col>
      <xdr:colOff>19050</xdr:colOff>
      <xdr:row>115</xdr:row>
      <xdr:rowOff>104775</xdr:rowOff>
    </xdr:to>
    <xdr:pic>
      <xdr:nvPicPr>
        <xdr:cNvPr id="2" name="Picture 2"/>
        <xdr:cNvPicPr preferRelativeResize="1">
          <a:picLocks noChangeAspect="1"/>
        </xdr:cNvPicPr>
      </xdr:nvPicPr>
      <xdr:blipFill>
        <a:blip r:link="rId1"/>
        <a:stretch>
          <a:fillRect/>
        </a:stretch>
      </xdr:blipFill>
      <xdr:spPr>
        <a:xfrm>
          <a:off x="19050" y="23536275"/>
          <a:ext cx="314325" cy="238125"/>
        </a:xfrm>
        <a:prstGeom prst="rect">
          <a:avLst/>
        </a:prstGeom>
        <a:noFill/>
        <a:ln w="9525" cmpd="sng">
          <a:noFill/>
        </a:ln>
      </xdr:spPr>
    </xdr:pic>
    <xdr:clientData/>
  </xdr:twoCellAnchor>
  <xdr:twoCellAnchor>
    <xdr:from>
      <xdr:col>0</xdr:col>
      <xdr:colOff>19050</xdr:colOff>
      <xdr:row>172</xdr:row>
      <xdr:rowOff>104775</xdr:rowOff>
    </xdr:from>
    <xdr:to>
      <xdr:col>1</xdr:col>
      <xdr:colOff>19050</xdr:colOff>
      <xdr:row>173</xdr:row>
      <xdr:rowOff>142875</xdr:rowOff>
    </xdr:to>
    <xdr:pic>
      <xdr:nvPicPr>
        <xdr:cNvPr id="3" name="Picture 3"/>
        <xdr:cNvPicPr preferRelativeResize="1">
          <a:picLocks noChangeAspect="1"/>
        </xdr:cNvPicPr>
      </xdr:nvPicPr>
      <xdr:blipFill>
        <a:blip r:link="rId1"/>
        <a:stretch>
          <a:fillRect/>
        </a:stretch>
      </xdr:blipFill>
      <xdr:spPr>
        <a:xfrm>
          <a:off x="19050" y="35185350"/>
          <a:ext cx="314325" cy="238125"/>
        </a:xfrm>
        <a:prstGeom prst="rect">
          <a:avLst/>
        </a:prstGeom>
        <a:noFill/>
        <a:ln w="9525" cmpd="sng">
          <a:noFill/>
        </a:ln>
      </xdr:spPr>
    </xdr:pic>
    <xdr:clientData/>
  </xdr:twoCellAnchor>
  <xdr:twoCellAnchor>
    <xdr:from>
      <xdr:col>0</xdr:col>
      <xdr:colOff>0</xdr:colOff>
      <xdr:row>238</xdr:row>
      <xdr:rowOff>57150</xdr:rowOff>
    </xdr:from>
    <xdr:to>
      <xdr:col>1</xdr:col>
      <xdr:colOff>0</xdr:colOff>
      <xdr:row>239</xdr:row>
      <xdr:rowOff>95250</xdr:rowOff>
    </xdr:to>
    <xdr:pic>
      <xdr:nvPicPr>
        <xdr:cNvPr id="4" name="Picture 4"/>
        <xdr:cNvPicPr preferRelativeResize="1">
          <a:picLocks noChangeAspect="1"/>
        </xdr:cNvPicPr>
      </xdr:nvPicPr>
      <xdr:blipFill>
        <a:blip r:link="rId1"/>
        <a:stretch>
          <a:fillRect/>
        </a:stretch>
      </xdr:blipFill>
      <xdr:spPr>
        <a:xfrm>
          <a:off x="0" y="48348900"/>
          <a:ext cx="314325" cy="238125"/>
        </a:xfrm>
        <a:prstGeom prst="rect">
          <a:avLst/>
        </a:prstGeom>
        <a:noFill/>
        <a:ln w="9525" cmpd="sng">
          <a:noFill/>
        </a:ln>
      </xdr:spPr>
    </xdr:pic>
    <xdr:clientData/>
  </xdr:twoCellAnchor>
  <xdr:twoCellAnchor>
    <xdr:from>
      <xdr:col>12</xdr:col>
      <xdr:colOff>571500</xdr:colOff>
      <xdr:row>238</xdr:row>
      <xdr:rowOff>95250</xdr:rowOff>
    </xdr:from>
    <xdr:to>
      <xdr:col>13</xdr:col>
      <xdr:colOff>114300</xdr:colOff>
      <xdr:row>239</xdr:row>
      <xdr:rowOff>123825</xdr:rowOff>
    </xdr:to>
    <xdr:pic>
      <xdr:nvPicPr>
        <xdr:cNvPr id="5" name="Picture 5"/>
        <xdr:cNvPicPr preferRelativeResize="1">
          <a:picLocks noChangeAspect="1"/>
        </xdr:cNvPicPr>
      </xdr:nvPicPr>
      <xdr:blipFill>
        <a:blip r:link="rId2"/>
        <a:stretch>
          <a:fillRect/>
        </a:stretch>
      </xdr:blipFill>
      <xdr:spPr>
        <a:xfrm>
          <a:off x="15144750" y="48387000"/>
          <a:ext cx="800100" cy="228600"/>
        </a:xfrm>
        <a:prstGeom prst="rect">
          <a:avLst/>
        </a:prstGeom>
        <a:noFill/>
        <a:ln w="9525" cmpd="sng">
          <a:noFill/>
        </a:ln>
      </xdr:spPr>
    </xdr:pic>
    <xdr:clientData/>
  </xdr:twoCellAnchor>
  <xdr:twoCellAnchor>
    <xdr:from>
      <xdr:col>12</xdr:col>
      <xdr:colOff>628650</xdr:colOff>
      <xdr:row>172</xdr:row>
      <xdr:rowOff>104775</xdr:rowOff>
    </xdr:from>
    <xdr:to>
      <xdr:col>13</xdr:col>
      <xdr:colOff>171450</xdr:colOff>
      <xdr:row>173</xdr:row>
      <xdr:rowOff>133350</xdr:rowOff>
    </xdr:to>
    <xdr:pic>
      <xdr:nvPicPr>
        <xdr:cNvPr id="6" name="Picture 6"/>
        <xdr:cNvPicPr preferRelativeResize="1">
          <a:picLocks noChangeAspect="1"/>
        </xdr:cNvPicPr>
      </xdr:nvPicPr>
      <xdr:blipFill>
        <a:blip r:link="rId2"/>
        <a:stretch>
          <a:fillRect/>
        </a:stretch>
      </xdr:blipFill>
      <xdr:spPr>
        <a:xfrm>
          <a:off x="15201900" y="35185350"/>
          <a:ext cx="800100" cy="228600"/>
        </a:xfrm>
        <a:prstGeom prst="rect">
          <a:avLst/>
        </a:prstGeom>
        <a:noFill/>
        <a:ln w="9525" cmpd="sng">
          <a:noFill/>
        </a:ln>
      </xdr:spPr>
    </xdr:pic>
    <xdr:clientData/>
  </xdr:twoCellAnchor>
  <xdr:twoCellAnchor>
    <xdr:from>
      <xdr:col>12</xdr:col>
      <xdr:colOff>628650</xdr:colOff>
      <xdr:row>114</xdr:row>
      <xdr:rowOff>123825</xdr:rowOff>
    </xdr:from>
    <xdr:to>
      <xdr:col>13</xdr:col>
      <xdr:colOff>171450</xdr:colOff>
      <xdr:row>115</xdr:row>
      <xdr:rowOff>152400</xdr:rowOff>
    </xdr:to>
    <xdr:pic>
      <xdr:nvPicPr>
        <xdr:cNvPr id="7" name="Picture 7"/>
        <xdr:cNvPicPr preferRelativeResize="1">
          <a:picLocks noChangeAspect="1"/>
        </xdr:cNvPicPr>
      </xdr:nvPicPr>
      <xdr:blipFill>
        <a:blip r:link="rId2"/>
        <a:stretch>
          <a:fillRect/>
        </a:stretch>
      </xdr:blipFill>
      <xdr:spPr>
        <a:xfrm>
          <a:off x="15201900" y="23593425"/>
          <a:ext cx="800100" cy="228600"/>
        </a:xfrm>
        <a:prstGeom prst="rect">
          <a:avLst/>
        </a:prstGeom>
        <a:noFill/>
        <a:ln w="9525" cmpd="sng">
          <a:noFill/>
        </a:ln>
      </xdr:spPr>
    </xdr:pic>
    <xdr:clientData/>
  </xdr:twoCellAnchor>
  <xdr:twoCellAnchor>
    <xdr:from>
      <xdr:col>12</xdr:col>
      <xdr:colOff>609600</xdr:colOff>
      <xdr:row>51</xdr:row>
      <xdr:rowOff>47625</xdr:rowOff>
    </xdr:from>
    <xdr:to>
      <xdr:col>13</xdr:col>
      <xdr:colOff>152400</xdr:colOff>
      <xdr:row>52</xdr:row>
      <xdr:rowOff>76200</xdr:rowOff>
    </xdr:to>
    <xdr:pic>
      <xdr:nvPicPr>
        <xdr:cNvPr id="8" name="Picture 8"/>
        <xdr:cNvPicPr preferRelativeResize="1">
          <a:picLocks noChangeAspect="1"/>
        </xdr:cNvPicPr>
      </xdr:nvPicPr>
      <xdr:blipFill>
        <a:blip r:link="rId2"/>
        <a:stretch>
          <a:fillRect/>
        </a:stretch>
      </xdr:blipFill>
      <xdr:spPr>
        <a:xfrm>
          <a:off x="15182850" y="10506075"/>
          <a:ext cx="8001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51</xdr:row>
      <xdr:rowOff>133350</xdr:rowOff>
    </xdr:from>
    <xdr:to>
      <xdr:col>1</xdr:col>
      <xdr:colOff>66675</xdr:colOff>
      <xdr:row>52</xdr:row>
      <xdr:rowOff>171450</xdr:rowOff>
    </xdr:to>
    <xdr:pic>
      <xdr:nvPicPr>
        <xdr:cNvPr id="1" name="Picture 1"/>
        <xdr:cNvPicPr preferRelativeResize="1">
          <a:picLocks noChangeAspect="1"/>
        </xdr:cNvPicPr>
      </xdr:nvPicPr>
      <xdr:blipFill>
        <a:blip r:link="rId1"/>
        <a:stretch>
          <a:fillRect/>
        </a:stretch>
      </xdr:blipFill>
      <xdr:spPr>
        <a:xfrm>
          <a:off x="66675" y="10591800"/>
          <a:ext cx="314325" cy="238125"/>
        </a:xfrm>
        <a:prstGeom prst="rect">
          <a:avLst/>
        </a:prstGeom>
        <a:noFill/>
        <a:ln w="9525" cmpd="sng">
          <a:noFill/>
        </a:ln>
      </xdr:spPr>
    </xdr:pic>
    <xdr:clientData/>
  </xdr:twoCellAnchor>
  <xdr:twoCellAnchor>
    <xdr:from>
      <xdr:col>0</xdr:col>
      <xdr:colOff>28575</xdr:colOff>
      <xdr:row>114</xdr:row>
      <xdr:rowOff>76200</xdr:rowOff>
    </xdr:from>
    <xdr:to>
      <xdr:col>1</xdr:col>
      <xdr:colOff>28575</xdr:colOff>
      <xdr:row>115</xdr:row>
      <xdr:rowOff>114300</xdr:rowOff>
    </xdr:to>
    <xdr:pic>
      <xdr:nvPicPr>
        <xdr:cNvPr id="2" name="Picture 2"/>
        <xdr:cNvPicPr preferRelativeResize="1">
          <a:picLocks noChangeAspect="1"/>
        </xdr:cNvPicPr>
      </xdr:nvPicPr>
      <xdr:blipFill>
        <a:blip r:link="rId1"/>
        <a:stretch>
          <a:fillRect/>
        </a:stretch>
      </xdr:blipFill>
      <xdr:spPr>
        <a:xfrm>
          <a:off x="28575" y="23545800"/>
          <a:ext cx="314325" cy="238125"/>
        </a:xfrm>
        <a:prstGeom prst="rect">
          <a:avLst/>
        </a:prstGeom>
        <a:noFill/>
        <a:ln w="9525" cmpd="sng">
          <a:noFill/>
        </a:ln>
      </xdr:spPr>
    </xdr:pic>
    <xdr:clientData/>
  </xdr:twoCellAnchor>
  <xdr:twoCellAnchor>
    <xdr:from>
      <xdr:col>0</xdr:col>
      <xdr:colOff>28575</xdr:colOff>
      <xdr:row>172</xdr:row>
      <xdr:rowOff>76200</xdr:rowOff>
    </xdr:from>
    <xdr:to>
      <xdr:col>1</xdr:col>
      <xdr:colOff>28575</xdr:colOff>
      <xdr:row>173</xdr:row>
      <xdr:rowOff>114300</xdr:rowOff>
    </xdr:to>
    <xdr:pic>
      <xdr:nvPicPr>
        <xdr:cNvPr id="3" name="Picture 3"/>
        <xdr:cNvPicPr preferRelativeResize="1">
          <a:picLocks noChangeAspect="1"/>
        </xdr:cNvPicPr>
      </xdr:nvPicPr>
      <xdr:blipFill>
        <a:blip r:link="rId1"/>
        <a:stretch>
          <a:fillRect/>
        </a:stretch>
      </xdr:blipFill>
      <xdr:spPr>
        <a:xfrm>
          <a:off x="28575" y="35156775"/>
          <a:ext cx="314325" cy="238125"/>
        </a:xfrm>
        <a:prstGeom prst="rect">
          <a:avLst/>
        </a:prstGeom>
        <a:noFill/>
        <a:ln w="9525" cmpd="sng">
          <a:noFill/>
        </a:ln>
      </xdr:spPr>
    </xdr:pic>
    <xdr:clientData/>
  </xdr:twoCellAnchor>
  <xdr:twoCellAnchor>
    <xdr:from>
      <xdr:col>0</xdr:col>
      <xdr:colOff>28575</xdr:colOff>
      <xdr:row>238</xdr:row>
      <xdr:rowOff>66675</xdr:rowOff>
    </xdr:from>
    <xdr:to>
      <xdr:col>1</xdr:col>
      <xdr:colOff>28575</xdr:colOff>
      <xdr:row>239</xdr:row>
      <xdr:rowOff>104775</xdr:rowOff>
    </xdr:to>
    <xdr:pic>
      <xdr:nvPicPr>
        <xdr:cNvPr id="4" name="Picture 4"/>
        <xdr:cNvPicPr preferRelativeResize="1">
          <a:picLocks noChangeAspect="1"/>
        </xdr:cNvPicPr>
      </xdr:nvPicPr>
      <xdr:blipFill>
        <a:blip r:link="rId1"/>
        <a:stretch>
          <a:fillRect/>
        </a:stretch>
      </xdr:blipFill>
      <xdr:spPr>
        <a:xfrm>
          <a:off x="28575" y="48358425"/>
          <a:ext cx="314325" cy="238125"/>
        </a:xfrm>
        <a:prstGeom prst="rect">
          <a:avLst/>
        </a:prstGeom>
        <a:noFill/>
        <a:ln w="9525" cmpd="sng">
          <a:noFill/>
        </a:ln>
      </xdr:spPr>
    </xdr:pic>
    <xdr:clientData/>
  </xdr:twoCellAnchor>
  <xdr:twoCellAnchor>
    <xdr:from>
      <xdr:col>12</xdr:col>
      <xdr:colOff>542925</xdr:colOff>
      <xdr:row>238</xdr:row>
      <xdr:rowOff>85725</xdr:rowOff>
    </xdr:from>
    <xdr:to>
      <xdr:col>13</xdr:col>
      <xdr:colOff>85725</xdr:colOff>
      <xdr:row>239</xdr:row>
      <xdr:rowOff>114300</xdr:rowOff>
    </xdr:to>
    <xdr:pic>
      <xdr:nvPicPr>
        <xdr:cNvPr id="5" name="Picture 5"/>
        <xdr:cNvPicPr preferRelativeResize="1">
          <a:picLocks noChangeAspect="1"/>
        </xdr:cNvPicPr>
      </xdr:nvPicPr>
      <xdr:blipFill>
        <a:blip r:link="rId2"/>
        <a:stretch>
          <a:fillRect/>
        </a:stretch>
      </xdr:blipFill>
      <xdr:spPr>
        <a:xfrm>
          <a:off x="15116175" y="48377475"/>
          <a:ext cx="800100" cy="228600"/>
        </a:xfrm>
        <a:prstGeom prst="rect">
          <a:avLst/>
        </a:prstGeom>
        <a:noFill/>
        <a:ln w="9525" cmpd="sng">
          <a:noFill/>
        </a:ln>
      </xdr:spPr>
    </xdr:pic>
    <xdr:clientData/>
  </xdr:twoCellAnchor>
  <xdr:twoCellAnchor>
    <xdr:from>
      <xdr:col>12</xdr:col>
      <xdr:colOff>647700</xdr:colOff>
      <xdr:row>172</xdr:row>
      <xdr:rowOff>104775</xdr:rowOff>
    </xdr:from>
    <xdr:to>
      <xdr:col>13</xdr:col>
      <xdr:colOff>190500</xdr:colOff>
      <xdr:row>173</xdr:row>
      <xdr:rowOff>133350</xdr:rowOff>
    </xdr:to>
    <xdr:pic>
      <xdr:nvPicPr>
        <xdr:cNvPr id="6" name="Picture 6"/>
        <xdr:cNvPicPr preferRelativeResize="1">
          <a:picLocks noChangeAspect="1"/>
        </xdr:cNvPicPr>
      </xdr:nvPicPr>
      <xdr:blipFill>
        <a:blip r:link="rId2"/>
        <a:stretch>
          <a:fillRect/>
        </a:stretch>
      </xdr:blipFill>
      <xdr:spPr>
        <a:xfrm>
          <a:off x="15220950" y="35185350"/>
          <a:ext cx="800100" cy="228600"/>
        </a:xfrm>
        <a:prstGeom prst="rect">
          <a:avLst/>
        </a:prstGeom>
        <a:noFill/>
        <a:ln w="9525" cmpd="sng">
          <a:noFill/>
        </a:ln>
      </xdr:spPr>
    </xdr:pic>
    <xdr:clientData/>
  </xdr:twoCellAnchor>
  <xdr:twoCellAnchor>
    <xdr:from>
      <xdr:col>12</xdr:col>
      <xdr:colOff>657225</xdr:colOff>
      <xdr:row>114</xdr:row>
      <xdr:rowOff>123825</xdr:rowOff>
    </xdr:from>
    <xdr:to>
      <xdr:col>13</xdr:col>
      <xdr:colOff>200025</xdr:colOff>
      <xdr:row>115</xdr:row>
      <xdr:rowOff>152400</xdr:rowOff>
    </xdr:to>
    <xdr:pic>
      <xdr:nvPicPr>
        <xdr:cNvPr id="7" name="Picture 7"/>
        <xdr:cNvPicPr preferRelativeResize="1">
          <a:picLocks noChangeAspect="1"/>
        </xdr:cNvPicPr>
      </xdr:nvPicPr>
      <xdr:blipFill>
        <a:blip r:link="rId2"/>
        <a:stretch>
          <a:fillRect/>
        </a:stretch>
      </xdr:blipFill>
      <xdr:spPr>
        <a:xfrm>
          <a:off x="15230475" y="23593425"/>
          <a:ext cx="800100" cy="228600"/>
        </a:xfrm>
        <a:prstGeom prst="rect">
          <a:avLst/>
        </a:prstGeom>
        <a:noFill/>
        <a:ln w="9525" cmpd="sng">
          <a:noFill/>
        </a:ln>
      </xdr:spPr>
    </xdr:pic>
    <xdr:clientData/>
  </xdr:twoCellAnchor>
  <xdr:twoCellAnchor>
    <xdr:from>
      <xdr:col>12</xdr:col>
      <xdr:colOff>628650</xdr:colOff>
      <xdr:row>51</xdr:row>
      <xdr:rowOff>95250</xdr:rowOff>
    </xdr:from>
    <xdr:to>
      <xdr:col>13</xdr:col>
      <xdr:colOff>171450</xdr:colOff>
      <xdr:row>52</xdr:row>
      <xdr:rowOff>123825</xdr:rowOff>
    </xdr:to>
    <xdr:pic>
      <xdr:nvPicPr>
        <xdr:cNvPr id="8" name="Picture 8"/>
        <xdr:cNvPicPr preferRelativeResize="1">
          <a:picLocks noChangeAspect="1"/>
        </xdr:cNvPicPr>
      </xdr:nvPicPr>
      <xdr:blipFill>
        <a:blip r:link="rId2"/>
        <a:stretch>
          <a:fillRect/>
        </a:stretch>
      </xdr:blipFill>
      <xdr:spPr>
        <a:xfrm>
          <a:off x="15201900" y="10553700"/>
          <a:ext cx="8001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104775</xdr:rowOff>
    </xdr:from>
    <xdr:to>
      <xdr:col>1</xdr:col>
      <xdr:colOff>9525</xdr:colOff>
      <xdr:row>52</xdr:row>
      <xdr:rowOff>142875</xdr:rowOff>
    </xdr:to>
    <xdr:pic>
      <xdr:nvPicPr>
        <xdr:cNvPr id="1" name="Picture 1"/>
        <xdr:cNvPicPr preferRelativeResize="1">
          <a:picLocks noChangeAspect="1"/>
        </xdr:cNvPicPr>
      </xdr:nvPicPr>
      <xdr:blipFill>
        <a:blip r:link="rId1"/>
        <a:stretch>
          <a:fillRect/>
        </a:stretch>
      </xdr:blipFill>
      <xdr:spPr>
        <a:xfrm>
          <a:off x="9525" y="10563225"/>
          <a:ext cx="314325" cy="238125"/>
        </a:xfrm>
        <a:prstGeom prst="rect">
          <a:avLst/>
        </a:prstGeom>
        <a:noFill/>
        <a:ln w="9525" cmpd="sng">
          <a:noFill/>
        </a:ln>
      </xdr:spPr>
    </xdr:pic>
    <xdr:clientData/>
  </xdr:twoCellAnchor>
  <xdr:twoCellAnchor>
    <xdr:from>
      <xdr:col>0</xdr:col>
      <xdr:colOff>28575</xdr:colOff>
      <xdr:row>114</xdr:row>
      <xdr:rowOff>104775</xdr:rowOff>
    </xdr:from>
    <xdr:to>
      <xdr:col>1</xdr:col>
      <xdr:colOff>28575</xdr:colOff>
      <xdr:row>115</xdr:row>
      <xdr:rowOff>142875</xdr:rowOff>
    </xdr:to>
    <xdr:pic>
      <xdr:nvPicPr>
        <xdr:cNvPr id="2" name="Picture 2"/>
        <xdr:cNvPicPr preferRelativeResize="1">
          <a:picLocks noChangeAspect="1"/>
        </xdr:cNvPicPr>
      </xdr:nvPicPr>
      <xdr:blipFill>
        <a:blip r:link="rId1"/>
        <a:stretch>
          <a:fillRect/>
        </a:stretch>
      </xdr:blipFill>
      <xdr:spPr>
        <a:xfrm>
          <a:off x="28575" y="23574375"/>
          <a:ext cx="314325" cy="238125"/>
        </a:xfrm>
        <a:prstGeom prst="rect">
          <a:avLst/>
        </a:prstGeom>
        <a:noFill/>
        <a:ln w="9525" cmpd="sng">
          <a:noFill/>
        </a:ln>
      </xdr:spPr>
    </xdr:pic>
    <xdr:clientData/>
  </xdr:twoCellAnchor>
  <xdr:twoCellAnchor>
    <xdr:from>
      <xdr:col>0</xdr:col>
      <xdr:colOff>0</xdr:colOff>
      <xdr:row>172</xdr:row>
      <xdr:rowOff>85725</xdr:rowOff>
    </xdr:from>
    <xdr:to>
      <xdr:col>1</xdr:col>
      <xdr:colOff>0</xdr:colOff>
      <xdr:row>173</xdr:row>
      <xdr:rowOff>123825</xdr:rowOff>
    </xdr:to>
    <xdr:pic>
      <xdr:nvPicPr>
        <xdr:cNvPr id="3" name="Picture 3"/>
        <xdr:cNvPicPr preferRelativeResize="1">
          <a:picLocks noChangeAspect="1"/>
        </xdr:cNvPicPr>
      </xdr:nvPicPr>
      <xdr:blipFill>
        <a:blip r:link="rId1"/>
        <a:stretch>
          <a:fillRect/>
        </a:stretch>
      </xdr:blipFill>
      <xdr:spPr>
        <a:xfrm>
          <a:off x="0" y="35166300"/>
          <a:ext cx="314325" cy="238125"/>
        </a:xfrm>
        <a:prstGeom prst="rect">
          <a:avLst/>
        </a:prstGeom>
        <a:noFill/>
        <a:ln w="9525" cmpd="sng">
          <a:noFill/>
        </a:ln>
      </xdr:spPr>
    </xdr:pic>
    <xdr:clientData/>
  </xdr:twoCellAnchor>
  <xdr:twoCellAnchor>
    <xdr:from>
      <xdr:col>0</xdr:col>
      <xdr:colOff>19050</xdr:colOff>
      <xdr:row>241</xdr:row>
      <xdr:rowOff>66675</xdr:rowOff>
    </xdr:from>
    <xdr:to>
      <xdr:col>1</xdr:col>
      <xdr:colOff>19050</xdr:colOff>
      <xdr:row>242</xdr:row>
      <xdr:rowOff>104775</xdr:rowOff>
    </xdr:to>
    <xdr:pic>
      <xdr:nvPicPr>
        <xdr:cNvPr id="4" name="Picture 4"/>
        <xdr:cNvPicPr preferRelativeResize="1">
          <a:picLocks noChangeAspect="1"/>
        </xdr:cNvPicPr>
      </xdr:nvPicPr>
      <xdr:blipFill>
        <a:blip r:link="rId1"/>
        <a:stretch>
          <a:fillRect/>
        </a:stretch>
      </xdr:blipFill>
      <xdr:spPr>
        <a:xfrm>
          <a:off x="19050" y="48958500"/>
          <a:ext cx="314325" cy="238125"/>
        </a:xfrm>
        <a:prstGeom prst="rect">
          <a:avLst/>
        </a:prstGeom>
        <a:noFill/>
        <a:ln w="9525" cmpd="sng">
          <a:noFill/>
        </a:ln>
      </xdr:spPr>
    </xdr:pic>
    <xdr:clientData/>
  </xdr:twoCellAnchor>
  <xdr:twoCellAnchor>
    <xdr:from>
      <xdr:col>12</xdr:col>
      <xdr:colOff>571500</xdr:colOff>
      <xdr:row>241</xdr:row>
      <xdr:rowOff>85725</xdr:rowOff>
    </xdr:from>
    <xdr:to>
      <xdr:col>13</xdr:col>
      <xdr:colOff>114300</xdr:colOff>
      <xdr:row>242</xdr:row>
      <xdr:rowOff>114300</xdr:rowOff>
    </xdr:to>
    <xdr:pic>
      <xdr:nvPicPr>
        <xdr:cNvPr id="5" name="Picture 5"/>
        <xdr:cNvPicPr preferRelativeResize="1">
          <a:picLocks noChangeAspect="1"/>
        </xdr:cNvPicPr>
      </xdr:nvPicPr>
      <xdr:blipFill>
        <a:blip r:link="rId2"/>
        <a:stretch>
          <a:fillRect/>
        </a:stretch>
      </xdr:blipFill>
      <xdr:spPr>
        <a:xfrm>
          <a:off x="15144750" y="48977550"/>
          <a:ext cx="800100" cy="228600"/>
        </a:xfrm>
        <a:prstGeom prst="rect">
          <a:avLst/>
        </a:prstGeom>
        <a:noFill/>
        <a:ln w="9525" cmpd="sng">
          <a:noFill/>
        </a:ln>
      </xdr:spPr>
    </xdr:pic>
    <xdr:clientData/>
  </xdr:twoCellAnchor>
  <xdr:twoCellAnchor>
    <xdr:from>
      <xdr:col>12</xdr:col>
      <xdr:colOff>628650</xdr:colOff>
      <xdr:row>172</xdr:row>
      <xdr:rowOff>95250</xdr:rowOff>
    </xdr:from>
    <xdr:to>
      <xdr:col>13</xdr:col>
      <xdr:colOff>171450</xdr:colOff>
      <xdr:row>173</xdr:row>
      <xdr:rowOff>123825</xdr:rowOff>
    </xdr:to>
    <xdr:pic>
      <xdr:nvPicPr>
        <xdr:cNvPr id="6" name="Picture 6"/>
        <xdr:cNvPicPr preferRelativeResize="1">
          <a:picLocks noChangeAspect="1"/>
        </xdr:cNvPicPr>
      </xdr:nvPicPr>
      <xdr:blipFill>
        <a:blip r:link="rId2"/>
        <a:stretch>
          <a:fillRect/>
        </a:stretch>
      </xdr:blipFill>
      <xdr:spPr>
        <a:xfrm>
          <a:off x="15201900" y="35175825"/>
          <a:ext cx="800100" cy="228600"/>
        </a:xfrm>
        <a:prstGeom prst="rect">
          <a:avLst/>
        </a:prstGeom>
        <a:noFill/>
        <a:ln w="9525" cmpd="sng">
          <a:noFill/>
        </a:ln>
      </xdr:spPr>
    </xdr:pic>
    <xdr:clientData/>
  </xdr:twoCellAnchor>
  <xdr:twoCellAnchor>
    <xdr:from>
      <xdr:col>12</xdr:col>
      <xdr:colOff>590550</xdr:colOff>
      <xdr:row>114</xdr:row>
      <xdr:rowOff>104775</xdr:rowOff>
    </xdr:from>
    <xdr:to>
      <xdr:col>13</xdr:col>
      <xdr:colOff>133350</xdr:colOff>
      <xdr:row>115</xdr:row>
      <xdr:rowOff>133350</xdr:rowOff>
    </xdr:to>
    <xdr:pic>
      <xdr:nvPicPr>
        <xdr:cNvPr id="7" name="Picture 7"/>
        <xdr:cNvPicPr preferRelativeResize="1">
          <a:picLocks noChangeAspect="1"/>
        </xdr:cNvPicPr>
      </xdr:nvPicPr>
      <xdr:blipFill>
        <a:blip r:link="rId2"/>
        <a:stretch>
          <a:fillRect/>
        </a:stretch>
      </xdr:blipFill>
      <xdr:spPr>
        <a:xfrm>
          <a:off x="15163800" y="23574375"/>
          <a:ext cx="800100" cy="228600"/>
        </a:xfrm>
        <a:prstGeom prst="rect">
          <a:avLst/>
        </a:prstGeom>
        <a:noFill/>
        <a:ln w="9525" cmpd="sng">
          <a:noFill/>
        </a:ln>
      </xdr:spPr>
    </xdr:pic>
    <xdr:clientData/>
  </xdr:twoCellAnchor>
  <xdr:twoCellAnchor>
    <xdr:from>
      <xdr:col>12</xdr:col>
      <xdr:colOff>609600</xdr:colOff>
      <xdr:row>51</xdr:row>
      <xdr:rowOff>104775</xdr:rowOff>
    </xdr:from>
    <xdr:to>
      <xdr:col>13</xdr:col>
      <xdr:colOff>152400</xdr:colOff>
      <xdr:row>52</xdr:row>
      <xdr:rowOff>133350</xdr:rowOff>
    </xdr:to>
    <xdr:pic>
      <xdr:nvPicPr>
        <xdr:cNvPr id="8" name="Picture 8"/>
        <xdr:cNvPicPr preferRelativeResize="1">
          <a:picLocks noChangeAspect="1"/>
        </xdr:cNvPicPr>
      </xdr:nvPicPr>
      <xdr:blipFill>
        <a:blip r:link="rId2"/>
        <a:stretch>
          <a:fillRect/>
        </a:stretch>
      </xdr:blipFill>
      <xdr:spPr>
        <a:xfrm>
          <a:off x="15182850" y="10563225"/>
          <a:ext cx="800100"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123825</xdr:rowOff>
    </xdr:from>
    <xdr:to>
      <xdr:col>1</xdr:col>
      <xdr:colOff>9525</xdr:colOff>
      <xdr:row>52</xdr:row>
      <xdr:rowOff>161925</xdr:rowOff>
    </xdr:to>
    <xdr:pic>
      <xdr:nvPicPr>
        <xdr:cNvPr id="1" name="Picture 1"/>
        <xdr:cNvPicPr preferRelativeResize="1">
          <a:picLocks noChangeAspect="1"/>
        </xdr:cNvPicPr>
      </xdr:nvPicPr>
      <xdr:blipFill>
        <a:blip r:link="rId1"/>
        <a:stretch>
          <a:fillRect/>
        </a:stretch>
      </xdr:blipFill>
      <xdr:spPr>
        <a:xfrm>
          <a:off x="9525" y="10582275"/>
          <a:ext cx="314325" cy="238125"/>
        </a:xfrm>
        <a:prstGeom prst="rect">
          <a:avLst/>
        </a:prstGeom>
        <a:noFill/>
        <a:ln w="9525" cmpd="sng">
          <a:noFill/>
        </a:ln>
      </xdr:spPr>
    </xdr:pic>
    <xdr:clientData/>
  </xdr:twoCellAnchor>
  <xdr:twoCellAnchor>
    <xdr:from>
      <xdr:col>0</xdr:col>
      <xdr:colOff>28575</xdr:colOff>
      <xdr:row>114</xdr:row>
      <xdr:rowOff>104775</xdr:rowOff>
    </xdr:from>
    <xdr:to>
      <xdr:col>1</xdr:col>
      <xdr:colOff>28575</xdr:colOff>
      <xdr:row>115</xdr:row>
      <xdr:rowOff>142875</xdr:rowOff>
    </xdr:to>
    <xdr:pic>
      <xdr:nvPicPr>
        <xdr:cNvPr id="2" name="Picture 2"/>
        <xdr:cNvPicPr preferRelativeResize="1">
          <a:picLocks noChangeAspect="1"/>
        </xdr:cNvPicPr>
      </xdr:nvPicPr>
      <xdr:blipFill>
        <a:blip r:link="rId1"/>
        <a:stretch>
          <a:fillRect/>
        </a:stretch>
      </xdr:blipFill>
      <xdr:spPr>
        <a:xfrm>
          <a:off x="28575" y="23574375"/>
          <a:ext cx="314325" cy="238125"/>
        </a:xfrm>
        <a:prstGeom prst="rect">
          <a:avLst/>
        </a:prstGeom>
        <a:noFill/>
        <a:ln w="9525" cmpd="sng">
          <a:noFill/>
        </a:ln>
      </xdr:spPr>
    </xdr:pic>
    <xdr:clientData/>
  </xdr:twoCellAnchor>
  <xdr:twoCellAnchor>
    <xdr:from>
      <xdr:col>0</xdr:col>
      <xdr:colOff>9525</xdr:colOff>
      <xdr:row>172</xdr:row>
      <xdr:rowOff>95250</xdr:rowOff>
    </xdr:from>
    <xdr:to>
      <xdr:col>1</xdr:col>
      <xdr:colOff>9525</xdr:colOff>
      <xdr:row>173</xdr:row>
      <xdr:rowOff>133350</xdr:rowOff>
    </xdr:to>
    <xdr:pic>
      <xdr:nvPicPr>
        <xdr:cNvPr id="3" name="Picture 3"/>
        <xdr:cNvPicPr preferRelativeResize="1">
          <a:picLocks noChangeAspect="1"/>
        </xdr:cNvPicPr>
      </xdr:nvPicPr>
      <xdr:blipFill>
        <a:blip r:link="rId1"/>
        <a:stretch>
          <a:fillRect/>
        </a:stretch>
      </xdr:blipFill>
      <xdr:spPr>
        <a:xfrm>
          <a:off x="9525" y="35175825"/>
          <a:ext cx="314325" cy="238125"/>
        </a:xfrm>
        <a:prstGeom prst="rect">
          <a:avLst/>
        </a:prstGeom>
        <a:noFill/>
        <a:ln w="9525" cmpd="sng">
          <a:noFill/>
        </a:ln>
      </xdr:spPr>
    </xdr:pic>
    <xdr:clientData/>
  </xdr:twoCellAnchor>
  <xdr:twoCellAnchor>
    <xdr:from>
      <xdr:col>0</xdr:col>
      <xdr:colOff>28575</xdr:colOff>
      <xdr:row>241</xdr:row>
      <xdr:rowOff>66675</xdr:rowOff>
    </xdr:from>
    <xdr:to>
      <xdr:col>1</xdr:col>
      <xdr:colOff>28575</xdr:colOff>
      <xdr:row>242</xdr:row>
      <xdr:rowOff>104775</xdr:rowOff>
    </xdr:to>
    <xdr:pic>
      <xdr:nvPicPr>
        <xdr:cNvPr id="4" name="Picture 4"/>
        <xdr:cNvPicPr preferRelativeResize="1">
          <a:picLocks noChangeAspect="1"/>
        </xdr:cNvPicPr>
      </xdr:nvPicPr>
      <xdr:blipFill>
        <a:blip r:link="rId1"/>
        <a:stretch>
          <a:fillRect/>
        </a:stretch>
      </xdr:blipFill>
      <xdr:spPr>
        <a:xfrm>
          <a:off x="28575" y="48958500"/>
          <a:ext cx="314325" cy="238125"/>
        </a:xfrm>
        <a:prstGeom prst="rect">
          <a:avLst/>
        </a:prstGeom>
        <a:noFill/>
        <a:ln w="9525" cmpd="sng">
          <a:noFill/>
        </a:ln>
      </xdr:spPr>
    </xdr:pic>
    <xdr:clientData/>
  </xdr:twoCellAnchor>
  <xdr:twoCellAnchor>
    <xdr:from>
      <xdr:col>12</xdr:col>
      <xdr:colOff>571500</xdr:colOff>
      <xdr:row>241</xdr:row>
      <xdr:rowOff>57150</xdr:rowOff>
    </xdr:from>
    <xdr:to>
      <xdr:col>13</xdr:col>
      <xdr:colOff>114300</xdr:colOff>
      <xdr:row>242</xdr:row>
      <xdr:rowOff>85725</xdr:rowOff>
    </xdr:to>
    <xdr:pic>
      <xdr:nvPicPr>
        <xdr:cNvPr id="5" name="Picture 5"/>
        <xdr:cNvPicPr preferRelativeResize="1">
          <a:picLocks noChangeAspect="1"/>
        </xdr:cNvPicPr>
      </xdr:nvPicPr>
      <xdr:blipFill>
        <a:blip r:link="rId2"/>
        <a:stretch>
          <a:fillRect/>
        </a:stretch>
      </xdr:blipFill>
      <xdr:spPr>
        <a:xfrm>
          <a:off x="15144750" y="48948975"/>
          <a:ext cx="800100" cy="228600"/>
        </a:xfrm>
        <a:prstGeom prst="rect">
          <a:avLst/>
        </a:prstGeom>
        <a:noFill/>
        <a:ln w="9525" cmpd="sng">
          <a:noFill/>
        </a:ln>
      </xdr:spPr>
    </xdr:pic>
    <xdr:clientData/>
  </xdr:twoCellAnchor>
  <xdr:twoCellAnchor>
    <xdr:from>
      <xdr:col>12</xdr:col>
      <xdr:colOff>542925</xdr:colOff>
      <xdr:row>172</xdr:row>
      <xdr:rowOff>85725</xdr:rowOff>
    </xdr:from>
    <xdr:to>
      <xdr:col>13</xdr:col>
      <xdr:colOff>85725</xdr:colOff>
      <xdr:row>173</xdr:row>
      <xdr:rowOff>114300</xdr:rowOff>
    </xdr:to>
    <xdr:pic>
      <xdr:nvPicPr>
        <xdr:cNvPr id="6" name="Picture 6"/>
        <xdr:cNvPicPr preferRelativeResize="1">
          <a:picLocks noChangeAspect="1"/>
        </xdr:cNvPicPr>
      </xdr:nvPicPr>
      <xdr:blipFill>
        <a:blip r:link="rId2"/>
        <a:stretch>
          <a:fillRect/>
        </a:stretch>
      </xdr:blipFill>
      <xdr:spPr>
        <a:xfrm>
          <a:off x="15116175" y="35166300"/>
          <a:ext cx="800100" cy="228600"/>
        </a:xfrm>
        <a:prstGeom prst="rect">
          <a:avLst/>
        </a:prstGeom>
        <a:noFill/>
        <a:ln w="9525" cmpd="sng">
          <a:noFill/>
        </a:ln>
      </xdr:spPr>
    </xdr:pic>
    <xdr:clientData/>
  </xdr:twoCellAnchor>
  <xdr:twoCellAnchor>
    <xdr:from>
      <xdr:col>12</xdr:col>
      <xdr:colOff>600075</xdr:colOff>
      <xdr:row>114</xdr:row>
      <xdr:rowOff>95250</xdr:rowOff>
    </xdr:from>
    <xdr:to>
      <xdr:col>13</xdr:col>
      <xdr:colOff>142875</xdr:colOff>
      <xdr:row>115</xdr:row>
      <xdr:rowOff>123825</xdr:rowOff>
    </xdr:to>
    <xdr:pic>
      <xdr:nvPicPr>
        <xdr:cNvPr id="7" name="Picture 7"/>
        <xdr:cNvPicPr preferRelativeResize="1">
          <a:picLocks noChangeAspect="1"/>
        </xdr:cNvPicPr>
      </xdr:nvPicPr>
      <xdr:blipFill>
        <a:blip r:link="rId2"/>
        <a:stretch>
          <a:fillRect/>
        </a:stretch>
      </xdr:blipFill>
      <xdr:spPr>
        <a:xfrm>
          <a:off x="15173325" y="23564850"/>
          <a:ext cx="800100" cy="228600"/>
        </a:xfrm>
        <a:prstGeom prst="rect">
          <a:avLst/>
        </a:prstGeom>
        <a:noFill/>
        <a:ln w="9525" cmpd="sng">
          <a:noFill/>
        </a:ln>
      </xdr:spPr>
    </xdr:pic>
    <xdr:clientData/>
  </xdr:twoCellAnchor>
  <xdr:twoCellAnchor>
    <xdr:from>
      <xdr:col>12</xdr:col>
      <xdr:colOff>609600</xdr:colOff>
      <xdr:row>51</xdr:row>
      <xdr:rowOff>85725</xdr:rowOff>
    </xdr:from>
    <xdr:to>
      <xdr:col>13</xdr:col>
      <xdr:colOff>152400</xdr:colOff>
      <xdr:row>52</xdr:row>
      <xdr:rowOff>114300</xdr:rowOff>
    </xdr:to>
    <xdr:pic>
      <xdr:nvPicPr>
        <xdr:cNvPr id="8" name="Picture 8"/>
        <xdr:cNvPicPr preferRelativeResize="1">
          <a:picLocks noChangeAspect="1"/>
        </xdr:cNvPicPr>
      </xdr:nvPicPr>
      <xdr:blipFill>
        <a:blip r:link="rId2"/>
        <a:stretch>
          <a:fillRect/>
        </a:stretch>
      </xdr:blipFill>
      <xdr:spPr>
        <a:xfrm>
          <a:off x="15182850" y="10544175"/>
          <a:ext cx="800100"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95250</xdr:rowOff>
    </xdr:from>
    <xdr:to>
      <xdr:col>1</xdr:col>
      <xdr:colOff>28575</xdr:colOff>
      <xdr:row>52</xdr:row>
      <xdr:rowOff>133350</xdr:rowOff>
    </xdr:to>
    <xdr:pic>
      <xdr:nvPicPr>
        <xdr:cNvPr id="1" name="Picture 1"/>
        <xdr:cNvPicPr preferRelativeResize="1">
          <a:picLocks noChangeAspect="1"/>
        </xdr:cNvPicPr>
      </xdr:nvPicPr>
      <xdr:blipFill>
        <a:blip r:link="rId1"/>
        <a:stretch>
          <a:fillRect/>
        </a:stretch>
      </xdr:blipFill>
      <xdr:spPr>
        <a:xfrm>
          <a:off x="28575" y="10553700"/>
          <a:ext cx="314325" cy="238125"/>
        </a:xfrm>
        <a:prstGeom prst="rect">
          <a:avLst/>
        </a:prstGeom>
        <a:noFill/>
        <a:ln w="9525" cmpd="sng">
          <a:noFill/>
        </a:ln>
      </xdr:spPr>
    </xdr:pic>
    <xdr:clientData/>
  </xdr:twoCellAnchor>
  <xdr:twoCellAnchor>
    <xdr:from>
      <xdr:col>0</xdr:col>
      <xdr:colOff>28575</xdr:colOff>
      <xdr:row>114</xdr:row>
      <xdr:rowOff>95250</xdr:rowOff>
    </xdr:from>
    <xdr:to>
      <xdr:col>1</xdr:col>
      <xdr:colOff>28575</xdr:colOff>
      <xdr:row>115</xdr:row>
      <xdr:rowOff>133350</xdr:rowOff>
    </xdr:to>
    <xdr:pic>
      <xdr:nvPicPr>
        <xdr:cNvPr id="2" name="Picture 2"/>
        <xdr:cNvPicPr preferRelativeResize="1">
          <a:picLocks noChangeAspect="1"/>
        </xdr:cNvPicPr>
      </xdr:nvPicPr>
      <xdr:blipFill>
        <a:blip r:link="rId1"/>
        <a:stretch>
          <a:fillRect/>
        </a:stretch>
      </xdr:blipFill>
      <xdr:spPr>
        <a:xfrm>
          <a:off x="28575" y="23564850"/>
          <a:ext cx="314325" cy="238125"/>
        </a:xfrm>
        <a:prstGeom prst="rect">
          <a:avLst/>
        </a:prstGeom>
        <a:noFill/>
        <a:ln w="9525" cmpd="sng">
          <a:noFill/>
        </a:ln>
      </xdr:spPr>
    </xdr:pic>
    <xdr:clientData/>
  </xdr:twoCellAnchor>
  <xdr:twoCellAnchor>
    <xdr:from>
      <xdr:col>0</xdr:col>
      <xdr:colOff>0</xdr:colOff>
      <xdr:row>172</xdr:row>
      <xdr:rowOff>95250</xdr:rowOff>
    </xdr:from>
    <xdr:to>
      <xdr:col>1</xdr:col>
      <xdr:colOff>0</xdr:colOff>
      <xdr:row>173</xdr:row>
      <xdr:rowOff>133350</xdr:rowOff>
    </xdr:to>
    <xdr:pic>
      <xdr:nvPicPr>
        <xdr:cNvPr id="3" name="Picture 3"/>
        <xdr:cNvPicPr preferRelativeResize="1">
          <a:picLocks noChangeAspect="1"/>
        </xdr:cNvPicPr>
      </xdr:nvPicPr>
      <xdr:blipFill>
        <a:blip r:link="rId1"/>
        <a:stretch>
          <a:fillRect/>
        </a:stretch>
      </xdr:blipFill>
      <xdr:spPr>
        <a:xfrm>
          <a:off x="0" y="35175825"/>
          <a:ext cx="314325" cy="238125"/>
        </a:xfrm>
        <a:prstGeom prst="rect">
          <a:avLst/>
        </a:prstGeom>
        <a:noFill/>
        <a:ln w="9525" cmpd="sng">
          <a:noFill/>
        </a:ln>
      </xdr:spPr>
    </xdr:pic>
    <xdr:clientData/>
  </xdr:twoCellAnchor>
  <xdr:twoCellAnchor>
    <xdr:from>
      <xdr:col>0</xdr:col>
      <xdr:colOff>28575</xdr:colOff>
      <xdr:row>241</xdr:row>
      <xdr:rowOff>76200</xdr:rowOff>
    </xdr:from>
    <xdr:to>
      <xdr:col>1</xdr:col>
      <xdr:colOff>28575</xdr:colOff>
      <xdr:row>242</xdr:row>
      <xdr:rowOff>114300</xdr:rowOff>
    </xdr:to>
    <xdr:pic>
      <xdr:nvPicPr>
        <xdr:cNvPr id="4" name="Picture 4"/>
        <xdr:cNvPicPr preferRelativeResize="1">
          <a:picLocks noChangeAspect="1"/>
        </xdr:cNvPicPr>
      </xdr:nvPicPr>
      <xdr:blipFill>
        <a:blip r:link="rId1"/>
        <a:stretch>
          <a:fillRect/>
        </a:stretch>
      </xdr:blipFill>
      <xdr:spPr>
        <a:xfrm>
          <a:off x="28575" y="48968025"/>
          <a:ext cx="314325" cy="238125"/>
        </a:xfrm>
        <a:prstGeom prst="rect">
          <a:avLst/>
        </a:prstGeom>
        <a:noFill/>
        <a:ln w="9525" cmpd="sng">
          <a:noFill/>
        </a:ln>
      </xdr:spPr>
    </xdr:pic>
    <xdr:clientData/>
  </xdr:twoCellAnchor>
  <xdr:twoCellAnchor>
    <xdr:from>
      <xdr:col>12</xdr:col>
      <xdr:colOff>542925</xdr:colOff>
      <xdr:row>241</xdr:row>
      <xdr:rowOff>76200</xdr:rowOff>
    </xdr:from>
    <xdr:to>
      <xdr:col>13</xdr:col>
      <xdr:colOff>85725</xdr:colOff>
      <xdr:row>242</xdr:row>
      <xdr:rowOff>104775</xdr:rowOff>
    </xdr:to>
    <xdr:pic>
      <xdr:nvPicPr>
        <xdr:cNvPr id="5" name="Picture 5"/>
        <xdr:cNvPicPr preferRelativeResize="1">
          <a:picLocks noChangeAspect="1"/>
        </xdr:cNvPicPr>
      </xdr:nvPicPr>
      <xdr:blipFill>
        <a:blip r:link="rId2"/>
        <a:stretch>
          <a:fillRect/>
        </a:stretch>
      </xdr:blipFill>
      <xdr:spPr>
        <a:xfrm>
          <a:off x="15116175" y="48968025"/>
          <a:ext cx="800100" cy="228600"/>
        </a:xfrm>
        <a:prstGeom prst="rect">
          <a:avLst/>
        </a:prstGeom>
        <a:noFill/>
        <a:ln w="9525" cmpd="sng">
          <a:noFill/>
        </a:ln>
      </xdr:spPr>
    </xdr:pic>
    <xdr:clientData/>
  </xdr:twoCellAnchor>
  <xdr:twoCellAnchor>
    <xdr:from>
      <xdr:col>12</xdr:col>
      <xdr:colOff>542925</xdr:colOff>
      <xdr:row>172</xdr:row>
      <xdr:rowOff>104775</xdr:rowOff>
    </xdr:from>
    <xdr:to>
      <xdr:col>13</xdr:col>
      <xdr:colOff>85725</xdr:colOff>
      <xdr:row>173</xdr:row>
      <xdr:rowOff>133350</xdr:rowOff>
    </xdr:to>
    <xdr:pic>
      <xdr:nvPicPr>
        <xdr:cNvPr id="6" name="Picture 6"/>
        <xdr:cNvPicPr preferRelativeResize="1">
          <a:picLocks noChangeAspect="1"/>
        </xdr:cNvPicPr>
      </xdr:nvPicPr>
      <xdr:blipFill>
        <a:blip r:link="rId2"/>
        <a:stretch>
          <a:fillRect/>
        </a:stretch>
      </xdr:blipFill>
      <xdr:spPr>
        <a:xfrm>
          <a:off x="15116175" y="35185350"/>
          <a:ext cx="800100" cy="228600"/>
        </a:xfrm>
        <a:prstGeom prst="rect">
          <a:avLst/>
        </a:prstGeom>
        <a:noFill/>
        <a:ln w="9525" cmpd="sng">
          <a:noFill/>
        </a:ln>
      </xdr:spPr>
    </xdr:pic>
    <xdr:clientData/>
  </xdr:twoCellAnchor>
  <xdr:twoCellAnchor>
    <xdr:from>
      <xdr:col>12</xdr:col>
      <xdr:colOff>590550</xdr:colOff>
      <xdr:row>114</xdr:row>
      <xdr:rowOff>85725</xdr:rowOff>
    </xdr:from>
    <xdr:to>
      <xdr:col>13</xdr:col>
      <xdr:colOff>133350</xdr:colOff>
      <xdr:row>115</xdr:row>
      <xdr:rowOff>114300</xdr:rowOff>
    </xdr:to>
    <xdr:pic>
      <xdr:nvPicPr>
        <xdr:cNvPr id="7" name="Picture 7"/>
        <xdr:cNvPicPr preferRelativeResize="1">
          <a:picLocks noChangeAspect="1"/>
        </xdr:cNvPicPr>
      </xdr:nvPicPr>
      <xdr:blipFill>
        <a:blip r:link="rId2"/>
        <a:stretch>
          <a:fillRect/>
        </a:stretch>
      </xdr:blipFill>
      <xdr:spPr>
        <a:xfrm>
          <a:off x="15163800" y="23555325"/>
          <a:ext cx="800100" cy="228600"/>
        </a:xfrm>
        <a:prstGeom prst="rect">
          <a:avLst/>
        </a:prstGeom>
        <a:noFill/>
        <a:ln w="9525" cmpd="sng">
          <a:noFill/>
        </a:ln>
      </xdr:spPr>
    </xdr:pic>
    <xdr:clientData/>
  </xdr:twoCellAnchor>
  <xdr:twoCellAnchor>
    <xdr:from>
      <xdr:col>12</xdr:col>
      <xdr:colOff>590550</xdr:colOff>
      <xdr:row>51</xdr:row>
      <xdr:rowOff>76200</xdr:rowOff>
    </xdr:from>
    <xdr:to>
      <xdr:col>13</xdr:col>
      <xdr:colOff>133350</xdr:colOff>
      <xdr:row>52</xdr:row>
      <xdr:rowOff>104775</xdr:rowOff>
    </xdr:to>
    <xdr:pic>
      <xdr:nvPicPr>
        <xdr:cNvPr id="8" name="Picture 8"/>
        <xdr:cNvPicPr preferRelativeResize="1">
          <a:picLocks noChangeAspect="1"/>
        </xdr:cNvPicPr>
      </xdr:nvPicPr>
      <xdr:blipFill>
        <a:blip r:link="rId2"/>
        <a:stretch>
          <a:fillRect/>
        </a:stretch>
      </xdr:blipFill>
      <xdr:spPr>
        <a:xfrm>
          <a:off x="15163800" y="10534650"/>
          <a:ext cx="800100"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76200</xdr:rowOff>
    </xdr:from>
    <xdr:to>
      <xdr:col>1</xdr:col>
      <xdr:colOff>0</xdr:colOff>
      <xdr:row>52</xdr:row>
      <xdr:rowOff>114300</xdr:rowOff>
    </xdr:to>
    <xdr:pic>
      <xdr:nvPicPr>
        <xdr:cNvPr id="1" name="Picture 1"/>
        <xdr:cNvPicPr preferRelativeResize="1">
          <a:picLocks noChangeAspect="1"/>
        </xdr:cNvPicPr>
      </xdr:nvPicPr>
      <xdr:blipFill>
        <a:blip r:link="rId1"/>
        <a:stretch>
          <a:fillRect/>
        </a:stretch>
      </xdr:blipFill>
      <xdr:spPr>
        <a:xfrm>
          <a:off x="0" y="10534650"/>
          <a:ext cx="314325" cy="238125"/>
        </a:xfrm>
        <a:prstGeom prst="rect">
          <a:avLst/>
        </a:prstGeom>
        <a:noFill/>
        <a:ln w="9525" cmpd="sng">
          <a:noFill/>
        </a:ln>
      </xdr:spPr>
    </xdr:pic>
    <xdr:clientData/>
  </xdr:twoCellAnchor>
  <xdr:twoCellAnchor>
    <xdr:from>
      <xdr:col>0</xdr:col>
      <xdr:colOff>57150</xdr:colOff>
      <xdr:row>114</xdr:row>
      <xdr:rowOff>76200</xdr:rowOff>
    </xdr:from>
    <xdr:to>
      <xdr:col>1</xdr:col>
      <xdr:colOff>57150</xdr:colOff>
      <xdr:row>115</xdr:row>
      <xdr:rowOff>114300</xdr:rowOff>
    </xdr:to>
    <xdr:pic>
      <xdr:nvPicPr>
        <xdr:cNvPr id="2" name="Picture 2"/>
        <xdr:cNvPicPr preferRelativeResize="1">
          <a:picLocks noChangeAspect="1"/>
        </xdr:cNvPicPr>
      </xdr:nvPicPr>
      <xdr:blipFill>
        <a:blip r:link="rId1"/>
        <a:stretch>
          <a:fillRect/>
        </a:stretch>
      </xdr:blipFill>
      <xdr:spPr>
        <a:xfrm>
          <a:off x="57150" y="23545800"/>
          <a:ext cx="314325" cy="238125"/>
        </a:xfrm>
        <a:prstGeom prst="rect">
          <a:avLst/>
        </a:prstGeom>
        <a:noFill/>
        <a:ln w="9525" cmpd="sng">
          <a:noFill/>
        </a:ln>
      </xdr:spPr>
    </xdr:pic>
    <xdr:clientData/>
  </xdr:twoCellAnchor>
  <xdr:twoCellAnchor>
    <xdr:from>
      <xdr:col>0</xdr:col>
      <xdr:colOff>0</xdr:colOff>
      <xdr:row>172</xdr:row>
      <xdr:rowOff>104775</xdr:rowOff>
    </xdr:from>
    <xdr:to>
      <xdr:col>1</xdr:col>
      <xdr:colOff>0</xdr:colOff>
      <xdr:row>173</xdr:row>
      <xdr:rowOff>142875</xdr:rowOff>
    </xdr:to>
    <xdr:pic>
      <xdr:nvPicPr>
        <xdr:cNvPr id="3" name="Picture 3"/>
        <xdr:cNvPicPr preferRelativeResize="1">
          <a:picLocks noChangeAspect="1"/>
        </xdr:cNvPicPr>
      </xdr:nvPicPr>
      <xdr:blipFill>
        <a:blip r:link="rId1"/>
        <a:stretch>
          <a:fillRect/>
        </a:stretch>
      </xdr:blipFill>
      <xdr:spPr>
        <a:xfrm>
          <a:off x="0" y="35185350"/>
          <a:ext cx="314325" cy="238125"/>
        </a:xfrm>
        <a:prstGeom prst="rect">
          <a:avLst/>
        </a:prstGeom>
        <a:noFill/>
        <a:ln w="9525" cmpd="sng">
          <a:noFill/>
        </a:ln>
      </xdr:spPr>
    </xdr:pic>
    <xdr:clientData/>
  </xdr:twoCellAnchor>
  <xdr:twoCellAnchor>
    <xdr:from>
      <xdr:col>0</xdr:col>
      <xdr:colOff>28575</xdr:colOff>
      <xdr:row>241</xdr:row>
      <xdr:rowOff>76200</xdr:rowOff>
    </xdr:from>
    <xdr:to>
      <xdr:col>1</xdr:col>
      <xdr:colOff>28575</xdr:colOff>
      <xdr:row>242</xdr:row>
      <xdr:rowOff>114300</xdr:rowOff>
    </xdr:to>
    <xdr:pic>
      <xdr:nvPicPr>
        <xdr:cNvPr id="4" name="Picture 4"/>
        <xdr:cNvPicPr preferRelativeResize="1">
          <a:picLocks noChangeAspect="1"/>
        </xdr:cNvPicPr>
      </xdr:nvPicPr>
      <xdr:blipFill>
        <a:blip r:link="rId1"/>
        <a:stretch>
          <a:fillRect/>
        </a:stretch>
      </xdr:blipFill>
      <xdr:spPr>
        <a:xfrm>
          <a:off x="28575" y="48968025"/>
          <a:ext cx="314325" cy="238125"/>
        </a:xfrm>
        <a:prstGeom prst="rect">
          <a:avLst/>
        </a:prstGeom>
        <a:noFill/>
        <a:ln w="9525" cmpd="sng">
          <a:noFill/>
        </a:ln>
      </xdr:spPr>
    </xdr:pic>
    <xdr:clientData/>
  </xdr:twoCellAnchor>
  <xdr:twoCellAnchor>
    <xdr:from>
      <xdr:col>12</xdr:col>
      <xdr:colOff>571500</xdr:colOff>
      <xdr:row>241</xdr:row>
      <xdr:rowOff>57150</xdr:rowOff>
    </xdr:from>
    <xdr:to>
      <xdr:col>13</xdr:col>
      <xdr:colOff>114300</xdr:colOff>
      <xdr:row>242</xdr:row>
      <xdr:rowOff>85725</xdr:rowOff>
    </xdr:to>
    <xdr:pic>
      <xdr:nvPicPr>
        <xdr:cNvPr id="5" name="Picture 5"/>
        <xdr:cNvPicPr preferRelativeResize="1">
          <a:picLocks noChangeAspect="1"/>
        </xdr:cNvPicPr>
      </xdr:nvPicPr>
      <xdr:blipFill>
        <a:blip r:link="rId2"/>
        <a:stretch>
          <a:fillRect/>
        </a:stretch>
      </xdr:blipFill>
      <xdr:spPr>
        <a:xfrm>
          <a:off x="15144750" y="48948975"/>
          <a:ext cx="800100" cy="228600"/>
        </a:xfrm>
        <a:prstGeom prst="rect">
          <a:avLst/>
        </a:prstGeom>
        <a:noFill/>
        <a:ln w="9525" cmpd="sng">
          <a:noFill/>
        </a:ln>
      </xdr:spPr>
    </xdr:pic>
    <xdr:clientData/>
  </xdr:twoCellAnchor>
  <xdr:twoCellAnchor>
    <xdr:from>
      <xdr:col>12</xdr:col>
      <xdr:colOff>628650</xdr:colOff>
      <xdr:row>172</xdr:row>
      <xdr:rowOff>123825</xdr:rowOff>
    </xdr:from>
    <xdr:to>
      <xdr:col>13</xdr:col>
      <xdr:colOff>171450</xdr:colOff>
      <xdr:row>173</xdr:row>
      <xdr:rowOff>152400</xdr:rowOff>
    </xdr:to>
    <xdr:pic>
      <xdr:nvPicPr>
        <xdr:cNvPr id="6" name="Picture 6"/>
        <xdr:cNvPicPr preferRelativeResize="1">
          <a:picLocks noChangeAspect="1"/>
        </xdr:cNvPicPr>
      </xdr:nvPicPr>
      <xdr:blipFill>
        <a:blip r:link="rId2"/>
        <a:stretch>
          <a:fillRect/>
        </a:stretch>
      </xdr:blipFill>
      <xdr:spPr>
        <a:xfrm>
          <a:off x="15201900" y="35204400"/>
          <a:ext cx="800100" cy="228600"/>
        </a:xfrm>
        <a:prstGeom prst="rect">
          <a:avLst/>
        </a:prstGeom>
        <a:noFill/>
        <a:ln w="9525" cmpd="sng">
          <a:noFill/>
        </a:ln>
      </xdr:spPr>
    </xdr:pic>
    <xdr:clientData/>
  </xdr:twoCellAnchor>
  <xdr:twoCellAnchor>
    <xdr:from>
      <xdr:col>12</xdr:col>
      <xdr:colOff>600075</xdr:colOff>
      <xdr:row>114</xdr:row>
      <xdr:rowOff>104775</xdr:rowOff>
    </xdr:from>
    <xdr:to>
      <xdr:col>13</xdr:col>
      <xdr:colOff>142875</xdr:colOff>
      <xdr:row>115</xdr:row>
      <xdr:rowOff>133350</xdr:rowOff>
    </xdr:to>
    <xdr:pic>
      <xdr:nvPicPr>
        <xdr:cNvPr id="7" name="Picture 7"/>
        <xdr:cNvPicPr preferRelativeResize="1">
          <a:picLocks noChangeAspect="1"/>
        </xdr:cNvPicPr>
      </xdr:nvPicPr>
      <xdr:blipFill>
        <a:blip r:link="rId2"/>
        <a:stretch>
          <a:fillRect/>
        </a:stretch>
      </xdr:blipFill>
      <xdr:spPr>
        <a:xfrm>
          <a:off x="15173325" y="23574375"/>
          <a:ext cx="800100" cy="228600"/>
        </a:xfrm>
        <a:prstGeom prst="rect">
          <a:avLst/>
        </a:prstGeom>
        <a:noFill/>
        <a:ln w="9525" cmpd="sng">
          <a:noFill/>
        </a:ln>
      </xdr:spPr>
    </xdr:pic>
    <xdr:clientData/>
  </xdr:twoCellAnchor>
  <xdr:twoCellAnchor>
    <xdr:from>
      <xdr:col>12</xdr:col>
      <xdr:colOff>628650</xdr:colOff>
      <xdr:row>51</xdr:row>
      <xdr:rowOff>104775</xdr:rowOff>
    </xdr:from>
    <xdr:to>
      <xdr:col>13</xdr:col>
      <xdr:colOff>171450</xdr:colOff>
      <xdr:row>52</xdr:row>
      <xdr:rowOff>133350</xdr:rowOff>
    </xdr:to>
    <xdr:pic>
      <xdr:nvPicPr>
        <xdr:cNvPr id="8" name="Picture 8"/>
        <xdr:cNvPicPr preferRelativeResize="1">
          <a:picLocks noChangeAspect="1"/>
        </xdr:cNvPicPr>
      </xdr:nvPicPr>
      <xdr:blipFill>
        <a:blip r:link="rId2"/>
        <a:stretch>
          <a:fillRect/>
        </a:stretch>
      </xdr:blipFill>
      <xdr:spPr>
        <a:xfrm>
          <a:off x="15201900" y="10563225"/>
          <a:ext cx="800100"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95250</xdr:rowOff>
    </xdr:from>
    <xdr:to>
      <xdr:col>1</xdr:col>
      <xdr:colOff>0</xdr:colOff>
      <xdr:row>52</xdr:row>
      <xdr:rowOff>133350</xdr:rowOff>
    </xdr:to>
    <xdr:pic>
      <xdr:nvPicPr>
        <xdr:cNvPr id="1" name="Picture 1"/>
        <xdr:cNvPicPr preferRelativeResize="1">
          <a:picLocks noChangeAspect="1"/>
        </xdr:cNvPicPr>
      </xdr:nvPicPr>
      <xdr:blipFill>
        <a:blip r:link="rId1"/>
        <a:stretch>
          <a:fillRect/>
        </a:stretch>
      </xdr:blipFill>
      <xdr:spPr>
        <a:xfrm>
          <a:off x="0" y="10553700"/>
          <a:ext cx="314325" cy="238125"/>
        </a:xfrm>
        <a:prstGeom prst="rect">
          <a:avLst/>
        </a:prstGeom>
        <a:noFill/>
        <a:ln w="9525" cmpd="sng">
          <a:noFill/>
        </a:ln>
      </xdr:spPr>
    </xdr:pic>
    <xdr:clientData/>
  </xdr:twoCellAnchor>
  <xdr:twoCellAnchor>
    <xdr:from>
      <xdr:col>0</xdr:col>
      <xdr:colOff>28575</xdr:colOff>
      <xdr:row>114</xdr:row>
      <xdr:rowOff>95250</xdr:rowOff>
    </xdr:from>
    <xdr:to>
      <xdr:col>1</xdr:col>
      <xdr:colOff>28575</xdr:colOff>
      <xdr:row>115</xdr:row>
      <xdr:rowOff>133350</xdr:rowOff>
    </xdr:to>
    <xdr:pic>
      <xdr:nvPicPr>
        <xdr:cNvPr id="2" name="Picture 2"/>
        <xdr:cNvPicPr preferRelativeResize="1">
          <a:picLocks noChangeAspect="1"/>
        </xdr:cNvPicPr>
      </xdr:nvPicPr>
      <xdr:blipFill>
        <a:blip r:link="rId1"/>
        <a:stretch>
          <a:fillRect/>
        </a:stretch>
      </xdr:blipFill>
      <xdr:spPr>
        <a:xfrm>
          <a:off x="28575" y="23564850"/>
          <a:ext cx="314325" cy="238125"/>
        </a:xfrm>
        <a:prstGeom prst="rect">
          <a:avLst/>
        </a:prstGeom>
        <a:noFill/>
        <a:ln w="9525" cmpd="sng">
          <a:noFill/>
        </a:ln>
      </xdr:spPr>
    </xdr:pic>
    <xdr:clientData/>
  </xdr:twoCellAnchor>
  <xdr:twoCellAnchor>
    <xdr:from>
      <xdr:col>0</xdr:col>
      <xdr:colOff>0</xdr:colOff>
      <xdr:row>172</xdr:row>
      <xdr:rowOff>104775</xdr:rowOff>
    </xdr:from>
    <xdr:to>
      <xdr:col>1</xdr:col>
      <xdr:colOff>0</xdr:colOff>
      <xdr:row>173</xdr:row>
      <xdr:rowOff>142875</xdr:rowOff>
    </xdr:to>
    <xdr:pic>
      <xdr:nvPicPr>
        <xdr:cNvPr id="3" name="Picture 3"/>
        <xdr:cNvPicPr preferRelativeResize="1">
          <a:picLocks noChangeAspect="1"/>
        </xdr:cNvPicPr>
      </xdr:nvPicPr>
      <xdr:blipFill>
        <a:blip r:link="rId1"/>
        <a:stretch>
          <a:fillRect/>
        </a:stretch>
      </xdr:blipFill>
      <xdr:spPr>
        <a:xfrm>
          <a:off x="0" y="35185350"/>
          <a:ext cx="314325" cy="238125"/>
        </a:xfrm>
        <a:prstGeom prst="rect">
          <a:avLst/>
        </a:prstGeom>
        <a:noFill/>
        <a:ln w="9525" cmpd="sng">
          <a:noFill/>
        </a:ln>
      </xdr:spPr>
    </xdr:pic>
    <xdr:clientData/>
  </xdr:twoCellAnchor>
  <xdr:twoCellAnchor>
    <xdr:from>
      <xdr:col>0</xdr:col>
      <xdr:colOff>57150</xdr:colOff>
      <xdr:row>241</xdr:row>
      <xdr:rowOff>76200</xdr:rowOff>
    </xdr:from>
    <xdr:to>
      <xdr:col>1</xdr:col>
      <xdr:colOff>57150</xdr:colOff>
      <xdr:row>242</xdr:row>
      <xdr:rowOff>114300</xdr:rowOff>
    </xdr:to>
    <xdr:pic>
      <xdr:nvPicPr>
        <xdr:cNvPr id="4" name="Picture 4"/>
        <xdr:cNvPicPr preferRelativeResize="1">
          <a:picLocks noChangeAspect="1"/>
        </xdr:cNvPicPr>
      </xdr:nvPicPr>
      <xdr:blipFill>
        <a:blip r:link="rId1"/>
        <a:stretch>
          <a:fillRect/>
        </a:stretch>
      </xdr:blipFill>
      <xdr:spPr>
        <a:xfrm>
          <a:off x="57150" y="48968025"/>
          <a:ext cx="314325" cy="238125"/>
        </a:xfrm>
        <a:prstGeom prst="rect">
          <a:avLst/>
        </a:prstGeom>
        <a:noFill/>
        <a:ln w="9525" cmpd="sng">
          <a:noFill/>
        </a:ln>
      </xdr:spPr>
    </xdr:pic>
    <xdr:clientData/>
  </xdr:twoCellAnchor>
  <xdr:twoCellAnchor>
    <xdr:from>
      <xdr:col>12</xdr:col>
      <xdr:colOff>609600</xdr:colOff>
      <xdr:row>241</xdr:row>
      <xdr:rowOff>66675</xdr:rowOff>
    </xdr:from>
    <xdr:to>
      <xdr:col>13</xdr:col>
      <xdr:colOff>152400</xdr:colOff>
      <xdr:row>242</xdr:row>
      <xdr:rowOff>95250</xdr:rowOff>
    </xdr:to>
    <xdr:pic>
      <xdr:nvPicPr>
        <xdr:cNvPr id="5" name="Picture 5"/>
        <xdr:cNvPicPr preferRelativeResize="1">
          <a:picLocks noChangeAspect="1"/>
        </xdr:cNvPicPr>
      </xdr:nvPicPr>
      <xdr:blipFill>
        <a:blip r:link="rId2"/>
        <a:stretch>
          <a:fillRect/>
        </a:stretch>
      </xdr:blipFill>
      <xdr:spPr>
        <a:xfrm>
          <a:off x="15182850" y="48958500"/>
          <a:ext cx="800100" cy="228600"/>
        </a:xfrm>
        <a:prstGeom prst="rect">
          <a:avLst/>
        </a:prstGeom>
        <a:noFill/>
        <a:ln w="9525" cmpd="sng">
          <a:noFill/>
        </a:ln>
      </xdr:spPr>
    </xdr:pic>
    <xdr:clientData/>
  </xdr:twoCellAnchor>
  <xdr:twoCellAnchor>
    <xdr:from>
      <xdr:col>12</xdr:col>
      <xdr:colOff>628650</xdr:colOff>
      <xdr:row>172</xdr:row>
      <xdr:rowOff>76200</xdr:rowOff>
    </xdr:from>
    <xdr:to>
      <xdr:col>13</xdr:col>
      <xdr:colOff>171450</xdr:colOff>
      <xdr:row>173</xdr:row>
      <xdr:rowOff>104775</xdr:rowOff>
    </xdr:to>
    <xdr:pic>
      <xdr:nvPicPr>
        <xdr:cNvPr id="6" name="Picture 6"/>
        <xdr:cNvPicPr preferRelativeResize="1">
          <a:picLocks noChangeAspect="1"/>
        </xdr:cNvPicPr>
      </xdr:nvPicPr>
      <xdr:blipFill>
        <a:blip r:link="rId2"/>
        <a:stretch>
          <a:fillRect/>
        </a:stretch>
      </xdr:blipFill>
      <xdr:spPr>
        <a:xfrm>
          <a:off x="15201900" y="35156775"/>
          <a:ext cx="800100" cy="228600"/>
        </a:xfrm>
        <a:prstGeom prst="rect">
          <a:avLst/>
        </a:prstGeom>
        <a:noFill/>
        <a:ln w="9525" cmpd="sng">
          <a:noFill/>
        </a:ln>
      </xdr:spPr>
    </xdr:pic>
    <xdr:clientData/>
  </xdr:twoCellAnchor>
  <xdr:twoCellAnchor>
    <xdr:from>
      <xdr:col>12</xdr:col>
      <xdr:colOff>581025</xdr:colOff>
      <xdr:row>114</xdr:row>
      <xdr:rowOff>95250</xdr:rowOff>
    </xdr:from>
    <xdr:to>
      <xdr:col>13</xdr:col>
      <xdr:colOff>123825</xdr:colOff>
      <xdr:row>115</xdr:row>
      <xdr:rowOff>123825</xdr:rowOff>
    </xdr:to>
    <xdr:pic>
      <xdr:nvPicPr>
        <xdr:cNvPr id="7" name="Picture 7"/>
        <xdr:cNvPicPr preferRelativeResize="1">
          <a:picLocks noChangeAspect="1"/>
        </xdr:cNvPicPr>
      </xdr:nvPicPr>
      <xdr:blipFill>
        <a:blip r:link="rId2"/>
        <a:stretch>
          <a:fillRect/>
        </a:stretch>
      </xdr:blipFill>
      <xdr:spPr>
        <a:xfrm>
          <a:off x="15154275" y="23564850"/>
          <a:ext cx="800100" cy="228600"/>
        </a:xfrm>
        <a:prstGeom prst="rect">
          <a:avLst/>
        </a:prstGeom>
        <a:noFill/>
        <a:ln w="9525" cmpd="sng">
          <a:noFill/>
        </a:ln>
      </xdr:spPr>
    </xdr:pic>
    <xdr:clientData/>
  </xdr:twoCellAnchor>
  <xdr:twoCellAnchor>
    <xdr:from>
      <xdr:col>12</xdr:col>
      <xdr:colOff>542925</xdr:colOff>
      <xdr:row>51</xdr:row>
      <xdr:rowOff>76200</xdr:rowOff>
    </xdr:from>
    <xdr:to>
      <xdr:col>13</xdr:col>
      <xdr:colOff>85725</xdr:colOff>
      <xdr:row>52</xdr:row>
      <xdr:rowOff>104775</xdr:rowOff>
    </xdr:to>
    <xdr:pic>
      <xdr:nvPicPr>
        <xdr:cNvPr id="8" name="Picture 8"/>
        <xdr:cNvPicPr preferRelativeResize="1">
          <a:picLocks noChangeAspect="1"/>
        </xdr:cNvPicPr>
      </xdr:nvPicPr>
      <xdr:blipFill>
        <a:blip r:link="rId2"/>
        <a:stretch>
          <a:fillRect/>
        </a:stretch>
      </xdr:blipFill>
      <xdr:spPr>
        <a:xfrm>
          <a:off x="15116175" y="10534650"/>
          <a:ext cx="800100" cy="228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95250</xdr:rowOff>
    </xdr:from>
    <xdr:to>
      <xdr:col>1</xdr:col>
      <xdr:colOff>0</xdr:colOff>
      <xdr:row>52</xdr:row>
      <xdr:rowOff>133350</xdr:rowOff>
    </xdr:to>
    <xdr:pic>
      <xdr:nvPicPr>
        <xdr:cNvPr id="1" name="Picture 1"/>
        <xdr:cNvPicPr preferRelativeResize="1">
          <a:picLocks noChangeAspect="1"/>
        </xdr:cNvPicPr>
      </xdr:nvPicPr>
      <xdr:blipFill>
        <a:blip r:link="rId1"/>
        <a:stretch>
          <a:fillRect/>
        </a:stretch>
      </xdr:blipFill>
      <xdr:spPr>
        <a:xfrm>
          <a:off x="0" y="10553700"/>
          <a:ext cx="314325" cy="238125"/>
        </a:xfrm>
        <a:prstGeom prst="rect">
          <a:avLst/>
        </a:prstGeom>
        <a:noFill/>
        <a:ln w="9525" cmpd="sng">
          <a:noFill/>
        </a:ln>
      </xdr:spPr>
    </xdr:pic>
    <xdr:clientData/>
  </xdr:twoCellAnchor>
  <xdr:twoCellAnchor>
    <xdr:from>
      <xdr:col>0</xdr:col>
      <xdr:colOff>19050</xdr:colOff>
      <xdr:row>114</xdr:row>
      <xdr:rowOff>76200</xdr:rowOff>
    </xdr:from>
    <xdr:to>
      <xdr:col>1</xdr:col>
      <xdr:colOff>19050</xdr:colOff>
      <xdr:row>115</xdr:row>
      <xdr:rowOff>114300</xdr:rowOff>
    </xdr:to>
    <xdr:pic>
      <xdr:nvPicPr>
        <xdr:cNvPr id="2" name="Picture 2"/>
        <xdr:cNvPicPr preferRelativeResize="1">
          <a:picLocks noChangeAspect="1"/>
        </xdr:cNvPicPr>
      </xdr:nvPicPr>
      <xdr:blipFill>
        <a:blip r:link="rId1"/>
        <a:stretch>
          <a:fillRect/>
        </a:stretch>
      </xdr:blipFill>
      <xdr:spPr>
        <a:xfrm>
          <a:off x="19050" y="23545800"/>
          <a:ext cx="314325" cy="238125"/>
        </a:xfrm>
        <a:prstGeom prst="rect">
          <a:avLst/>
        </a:prstGeom>
        <a:noFill/>
        <a:ln w="9525" cmpd="sng">
          <a:noFill/>
        </a:ln>
      </xdr:spPr>
    </xdr:pic>
    <xdr:clientData/>
  </xdr:twoCellAnchor>
  <xdr:twoCellAnchor>
    <xdr:from>
      <xdr:col>0</xdr:col>
      <xdr:colOff>19050</xdr:colOff>
      <xdr:row>172</xdr:row>
      <xdr:rowOff>104775</xdr:rowOff>
    </xdr:from>
    <xdr:to>
      <xdr:col>1</xdr:col>
      <xdr:colOff>19050</xdr:colOff>
      <xdr:row>173</xdr:row>
      <xdr:rowOff>142875</xdr:rowOff>
    </xdr:to>
    <xdr:pic>
      <xdr:nvPicPr>
        <xdr:cNvPr id="3" name="Picture 3"/>
        <xdr:cNvPicPr preferRelativeResize="1">
          <a:picLocks noChangeAspect="1"/>
        </xdr:cNvPicPr>
      </xdr:nvPicPr>
      <xdr:blipFill>
        <a:blip r:link="rId1"/>
        <a:stretch>
          <a:fillRect/>
        </a:stretch>
      </xdr:blipFill>
      <xdr:spPr>
        <a:xfrm>
          <a:off x="19050" y="35185350"/>
          <a:ext cx="314325" cy="238125"/>
        </a:xfrm>
        <a:prstGeom prst="rect">
          <a:avLst/>
        </a:prstGeom>
        <a:noFill/>
        <a:ln w="9525" cmpd="sng">
          <a:noFill/>
        </a:ln>
      </xdr:spPr>
    </xdr:pic>
    <xdr:clientData/>
  </xdr:twoCellAnchor>
  <xdr:twoCellAnchor>
    <xdr:from>
      <xdr:col>0</xdr:col>
      <xdr:colOff>28575</xdr:colOff>
      <xdr:row>241</xdr:row>
      <xdr:rowOff>66675</xdr:rowOff>
    </xdr:from>
    <xdr:to>
      <xdr:col>1</xdr:col>
      <xdr:colOff>28575</xdr:colOff>
      <xdr:row>242</xdr:row>
      <xdr:rowOff>104775</xdr:rowOff>
    </xdr:to>
    <xdr:pic>
      <xdr:nvPicPr>
        <xdr:cNvPr id="4" name="Picture 4"/>
        <xdr:cNvPicPr preferRelativeResize="1">
          <a:picLocks noChangeAspect="1"/>
        </xdr:cNvPicPr>
      </xdr:nvPicPr>
      <xdr:blipFill>
        <a:blip r:link="rId1"/>
        <a:stretch>
          <a:fillRect/>
        </a:stretch>
      </xdr:blipFill>
      <xdr:spPr>
        <a:xfrm>
          <a:off x="28575" y="48958500"/>
          <a:ext cx="314325" cy="238125"/>
        </a:xfrm>
        <a:prstGeom prst="rect">
          <a:avLst/>
        </a:prstGeom>
        <a:noFill/>
        <a:ln w="9525" cmpd="sng">
          <a:noFill/>
        </a:ln>
      </xdr:spPr>
    </xdr:pic>
    <xdr:clientData/>
  </xdr:twoCellAnchor>
  <xdr:twoCellAnchor>
    <xdr:from>
      <xdr:col>12</xdr:col>
      <xdr:colOff>447675</xdr:colOff>
      <xdr:row>241</xdr:row>
      <xdr:rowOff>76200</xdr:rowOff>
    </xdr:from>
    <xdr:to>
      <xdr:col>12</xdr:col>
      <xdr:colOff>1247775</xdr:colOff>
      <xdr:row>242</xdr:row>
      <xdr:rowOff>104775</xdr:rowOff>
    </xdr:to>
    <xdr:pic>
      <xdr:nvPicPr>
        <xdr:cNvPr id="5" name="Picture 5"/>
        <xdr:cNvPicPr preferRelativeResize="1">
          <a:picLocks noChangeAspect="1"/>
        </xdr:cNvPicPr>
      </xdr:nvPicPr>
      <xdr:blipFill>
        <a:blip r:link="rId2"/>
        <a:stretch>
          <a:fillRect/>
        </a:stretch>
      </xdr:blipFill>
      <xdr:spPr>
        <a:xfrm>
          <a:off x="15020925" y="48968025"/>
          <a:ext cx="800100" cy="228600"/>
        </a:xfrm>
        <a:prstGeom prst="rect">
          <a:avLst/>
        </a:prstGeom>
        <a:noFill/>
        <a:ln w="9525" cmpd="sng">
          <a:noFill/>
        </a:ln>
      </xdr:spPr>
    </xdr:pic>
    <xdr:clientData/>
  </xdr:twoCellAnchor>
  <xdr:twoCellAnchor>
    <xdr:from>
      <xdr:col>12</xdr:col>
      <xdr:colOff>571500</xdr:colOff>
      <xdr:row>172</xdr:row>
      <xdr:rowOff>95250</xdr:rowOff>
    </xdr:from>
    <xdr:to>
      <xdr:col>13</xdr:col>
      <xdr:colOff>114300</xdr:colOff>
      <xdr:row>173</xdr:row>
      <xdr:rowOff>123825</xdr:rowOff>
    </xdr:to>
    <xdr:pic>
      <xdr:nvPicPr>
        <xdr:cNvPr id="6" name="Picture 6"/>
        <xdr:cNvPicPr preferRelativeResize="1">
          <a:picLocks noChangeAspect="1"/>
        </xdr:cNvPicPr>
      </xdr:nvPicPr>
      <xdr:blipFill>
        <a:blip r:link="rId2"/>
        <a:stretch>
          <a:fillRect/>
        </a:stretch>
      </xdr:blipFill>
      <xdr:spPr>
        <a:xfrm>
          <a:off x="15144750" y="35175825"/>
          <a:ext cx="800100" cy="228600"/>
        </a:xfrm>
        <a:prstGeom prst="rect">
          <a:avLst/>
        </a:prstGeom>
        <a:noFill/>
        <a:ln w="9525" cmpd="sng">
          <a:noFill/>
        </a:ln>
      </xdr:spPr>
    </xdr:pic>
    <xdr:clientData/>
  </xdr:twoCellAnchor>
  <xdr:twoCellAnchor>
    <xdr:from>
      <xdr:col>12</xdr:col>
      <xdr:colOff>561975</xdr:colOff>
      <xdr:row>114</xdr:row>
      <xdr:rowOff>104775</xdr:rowOff>
    </xdr:from>
    <xdr:to>
      <xdr:col>13</xdr:col>
      <xdr:colOff>104775</xdr:colOff>
      <xdr:row>115</xdr:row>
      <xdr:rowOff>133350</xdr:rowOff>
    </xdr:to>
    <xdr:pic>
      <xdr:nvPicPr>
        <xdr:cNvPr id="7" name="Picture 7"/>
        <xdr:cNvPicPr preferRelativeResize="1">
          <a:picLocks noChangeAspect="1"/>
        </xdr:cNvPicPr>
      </xdr:nvPicPr>
      <xdr:blipFill>
        <a:blip r:link="rId2"/>
        <a:stretch>
          <a:fillRect/>
        </a:stretch>
      </xdr:blipFill>
      <xdr:spPr>
        <a:xfrm>
          <a:off x="15135225" y="23574375"/>
          <a:ext cx="800100" cy="228600"/>
        </a:xfrm>
        <a:prstGeom prst="rect">
          <a:avLst/>
        </a:prstGeom>
        <a:noFill/>
        <a:ln w="9525" cmpd="sng">
          <a:noFill/>
        </a:ln>
      </xdr:spPr>
    </xdr:pic>
    <xdr:clientData/>
  </xdr:twoCellAnchor>
  <xdr:twoCellAnchor>
    <xdr:from>
      <xdr:col>12</xdr:col>
      <xdr:colOff>571500</xdr:colOff>
      <xdr:row>51</xdr:row>
      <xdr:rowOff>76200</xdr:rowOff>
    </xdr:from>
    <xdr:to>
      <xdr:col>13</xdr:col>
      <xdr:colOff>114300</xdr:colOff>
      <xdr:row>52</xdr:row>
      <xdr:rowOff>104775</xdr:rowOff>
    </xdr:to>
    <xdr:pic>
      <xdr:nvPicPr>
        <xdr:cNvPr id="8" name="Picture 8"/>
        <xdr:cNvPicPr preferRelativeResize="1">
          <a:picLocks noChangeAspect="1"/>
        </xdr:cNvPicPr>
      </xdr:nvPicPr>
      <xdr:blipFill>
        <a:blip r:link="rId2"/>
        <a:stretch>
          <a:fillRect/>
        </a:stretch>
      </xdr:blipFill>
      <xdr:spPr>
        <a:xfrm>
          <a:off x="15144750" y="10534650"/>
          <a:ext cx="8001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4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49.6640625" style="1" customWidth="1"/>
    <col min="3" max="3" width="12.6640625" style="1" customWidth="1"/>
    <col min="4" max="4" width="18.6640625" style="1" customWidth="1"/>
    <col min="5" max="5" width="14.6640625" style="1" customWidth="1"/>
    <col min="6" max="6" width="4.6640625" style="1" customWidth="1"/>
    <col min="7" max="7" width="14.6640625" style="1" customWidth="1"/>
    <col min="8" max="8" width="4.6640625" style="1" customWidth="1"/>
    <col min="9" max="9" width="19.6640625" style="1" customWidth="1"/>
    <col min="10" max="10" width="6.6640625" style="1" customWidth="1"/>
    <col min="11" max="11" width="11.6640625" style="1" customWidth="1"/>
    <col min="12" max="12" width="8.6640625" style="1" customWidth="1"/>
    <col min="13" max="13" width="14.6640625" style="1" customWidth="1"/>
    <col min="14" max="14" width="2.6640625" style="1" customWidth="1"/>
    <col min="15" max="16384" width="9.6640625" style="1" customWidth="1"/>
  </cols>
  <sheetData>
    <row r="1" spans="1:15" ht="20.25">
      <c r="A1" s="2"/>
      <c r="B1" s="3" t="s">
        <v>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44" t="s">
        <v>1</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2</v>
      </c>
      <c r="C5" s="13"/>
      <c r="D5" s="13"/>
      <c r="E5" s="9"/>
      <c r="F5" s="9"/>
      <c r="G5" s="9"/>
      <c r="H5" s="9"/>
      <c r="I5" s="9"/>
      <c r="J5" s="9"/>
      <c r="K5" s="9"/>
      <c r="L5" s="9"/>
      <c r="M5" s="9"/>
      <c r="N5" s="9"/>
      <c r="O5" s="6"/>
    </row>
    <row r="6" spans="1:15" ht="15.75">
      <c r="A6" s="7"/>
      <c r="B6" s="12" t="s">
        <v>3</v>
      </c>
      <c r="C6" s="13"/>
      <c r="D6" s="13"/>
      <c r="E6" s="9"/>
      <c r="F6" s="9"/>
      <c r="G6" s="9"/>
      <c r="H6" s="9"/>
      <c r="I6" s="9"/>
      <c r="J6" s="9"/>
      <c r="K6" s="9"/>
      <c r="L6" s="9"/>
      <c r="M6" s="9"/>
      <c r="N6" s="9"/>
      <c r="O6" s="6"/>
    </row>
    <row r="7" spans="1:15" ht="15.75">
      <c r="A7" s="7"/>
      <c r="B7" s="12" t="s">
        <v>4</v>
      </c>
      <c r="C7" s="13"/>
      <c r="D7" s="13"/>
      <c r="E7" s="9"/>
      <c r="F7" s="9"/>
      <c r="G7" s="9"/>
      <c r="H7" s="9"/>
      <c r="I7" s="9"/>
      <c r="J7" s="9"/>
      <c r="K7" s="9"/>
      <c r="L7" s="9"/>
      <c r="M7" s="9"/>
      <c r="N7" s="9"/>
      <c r="O7" s="6"/>
    </row>
    <row r="8" spans="1:15" ht="15.75">
      <c r="A8" s="7"/>
      <c r="B8" s="14"/>
      <c r="C8" s="13"/>
      <c r="D8" s="13"/>
      <c r="E8" s="9"/>
      <c r="F8" s="9"/>
      <c r="G8" s="9"/>
      <c r="H8" s="9"/>
      <c r="I8" s="9"/>
      <c r="J8" s="9"/>
      <c r="K8" s="9"/>
      <c r="L8" s="9"/>
      <c r="M8" s="9"/>
      <c r="N8" s="9"/>
      <c r="O8" s="6"/>
    </row>
    <row r="9" spans="1:15" ht="15.75">
      <c r="A9" s="7"/>
      <c r="B9" s="13"/>
      <c r="C9" s="13"/>
      <c r="D9" s="13"/>
      <c r="E9" s="15"/>
      <c r="F9" s="15"/>
      <c r="G9" s="9"/>
      <c r="H9" s="9"/>
      <c r="I9" s="9"/>
      <c r="J9" s="9"/>
      <c r="K9" s="9"/>
      <c r="L9" s="9"/>
      <c r="M9" s="9"/>
      <c r="N9" s="9"/>
      <c r="O9" s="6"/>
    </row>
    <row r="10" spans="1:15" ht="15.75">
      <c r="A10" s="7"/>
      <c r="B10" s="15" t="s">
        <v>5</v>
      </c>
      <c r="C10" s="15"/>
      <c r="D10" s="15"/>
      <c r="E10" s="9"/>
      <c r="F10" s="9"/>
      <c r="G10" s="9"/>
      <c r="H10" s="9"/>
      <c r="I10" s="9"/>
      <c r="J10" s="9"/>
      <c r="K10" s="16"/>
      <c r="L10" s="9"/>
      <c r="M10" s="9"/>
      <c r="N10" s="9"/>
      <c r="O10" s="6"/>
    </row>
    <row r="11" spans="1:15" ht="15.75">
      <c r="A11" s="7"/>
      <c r="B11" s="15"/>
      <c r="C11" s="15"/>
      <c r="D11" s="15"/>
      <c r="E11" s="9"/>
      <c r="F11" s="9"/>
      <c r="G11" s="9"/>
      <c r="H11" s="9"/>
      <c r="I11" s="9"/>
      <c r="J11" s="9"/>
      <c r="K11" s="9"/>
      <c r="L11" s="9"/>
      <c r="M11" s="9"/>
      <c r="N11" s="9"/>
      <c r="O11" s="6"/>
    </row>
    <row r="12" spans="1:15" ht="15.75">
      <c r="A12" s="2"/>
      <c r="B12" s="5"/>
      <c r="C12" s="5"/>
      <c r="D12" s="5"/>
      <c r="E12" s="5"/>
      <c r="F12" s="5"/>
      <c r="G12" s="5"/>
      <c r="H12" s="5"/>
      <c r="I12" s="5"/>
      <c r="J12" s="5"/>
      <c r="K12" s="5"/>
      <c r="L12" s="5"/>
      <c r="M12" s="5"/>
      <c r="N12" s="5"/>
      <c r="O12" s="6"/>
    </row>
    <row r="13" spans="1:15" ht="15.75">
      <c r="A13" s="7"/>
      <c r="B13" s="17" t="s">
        <v>6</v>
      </c>
      <c r="C13" s="17"/>
      <c r="D13" s="17"/>
      <c r="E13" s="18"/>
      <c r="F13" s="18"/>
      <c r="G13" s="18"/>
      <c r="H13" s="18"/>
      <c r="I13" s="18"/>
      <c r="J13" s="18"/>
      <c r="K13" s="18"/>
      <c r="L13" s="18"/>
      <c r="M13" s="19" t="s">
        <v>217</v>
      </c>
      <c r="N13" s="9"/>
      <c r="O13" s="6"/>
    </row>
    <row r="14" spans="1:15" ht="15.75">
      <c r="A14" s="7"/>
      <c r="B14" s="17" t="s">
        <v>7</v>
      </c>
      <c r="C14" s="17"/>
      <c r="D14" s="18"/>
      <c r="E14" s="18"/>
      <c r="F14" s="18"/>
      <c r="G14" s="18"/>
      <c r="H14" s="20" t="s">
        <v>197</v>
      </c>
      <c r="I14" s="21">
        <v>0.52</v>
      </c>
      <c r="J14" s="20" t="s">
        <v>207</v>
      </c>
      <c r="K14" s="21">
        <v>0.48</v>
      </c>
      <c r="L14" s="18"/>
      <c r="M14" s="19"/>
      <c r="N14" s="9"/>
      <c r="O14" s="6"/>
    </row>
    <row r="15" spans="1:15" ht="15.75">
      <c r="A15" s="7"/>
      <c r="B15" s="17" t="s">
        <v>8</v>
      </c>
      <c r="C15" s="17"/>
      <c r="D15" s="18"/>
      <c r="E15" s="18"/>
      <c r="F15" s="18"/>
      <c r="G15" s="18"/>
      <c r="H15" s="20" t="s">
        <v>197</v>
      </c>
      <c r="I15" s="21">
        <f>K230/K232</f>
        <v>0.5182647286632381</v>
      </c>
      <c r="J15" s="20" t="s">
        <v>207</v>
      </c>
      <c r="K15" s="21">
        <f>K223/K232</f>
        <v>0.4817352713367618</v>
      </c>
      <c r="L15" s="18"/>
      <c r="M15" s="19"/>
      <c r="N15" s="9"/>
      <c r="O15" s="6"/>
    </row>
    <row r="16" spans="1:15" ht="15.75">
      <c r="A16" s="7"/>
      <c r="B16" s="17" t="s">
        <v>9</v>
      </c>
      <c r="C16" s="17"/>
      <c r="D16" s="17"/>
      <c r="E16" s="18"/>
      <c r="F16" s="18"/>
      <c r="G16" s="18"/>
      <c r="H16" s="18"/>
      <c r="I16" s="18"/>
      <c r="J16" s="18"/>
      <c r="K16" s="18"/>
      <c r="L16" s="18"/>
      <c r="M16" s="20" t="s">
        <v>218</v>
      </c>
      <c r="N16" s="9"/>
      <c r="O16" s="6"/>
    </row>
    <row r="17" spans="1:15" ht="15.75">
      <c r="A17" s="7"/>
      <c r="B17" s="17" t="s">
        <v>10</v>
      </c>
      <c r="C17" s="17"/>
      <c r="D17" s="17"/>
      <c r="E17" s="18"/>
      <c r="F17" s="18"/>
      <c r="G17" s="18"/>
      <c r="H17" s="18"/>
      <c r="I17" s="18"/>
      <c r="J17" s="18"/>
      <c r="K17" s="18"/>
      <c r="L17" s="18"/>
      <c r="M17" s="22">
        <v>36945</v>
      </c>
      <c r="N17" s="9"/>
      <c r="O17" s="6"/>
    </row>
    <row r="18" spans="1:15" ht="15.75">
      <c r="A18" s="7"/>
      <c r="B18" s="9"/>
      <c r="C18" s="9"/>
      <c r="D18" s="9"/>
      <c r="E18" s="9"/>
      <c r="F18" s="9"/>
      <c r="G18" s="9"/>
      <c r="H18" s="9"/>
      <c r="I18" s="9"/>
      <c r="J18" s="9"/>
      <c r="K18" s="9"/>
      <c r="L18" s="9"/>
      <c r="M18" s="23"/>
      <c r="N18" s="9"/>
      <c r="O18" s="6"/>
    </row>
    <row r="19" spans="1:15" ht="15.75">
      <c r="A19" s="7"/>
      <c r="B19" s="24" t="s">
        <v>11</v>
      </c>
      <c r="C19" s="9"/>
      <c r="D19" s="9"/>
      <c r="E19" s="9"/>
      <c r="F19" s="9"/>
      <c r="G19" s="9"/>
      <c r="H19" s="9"/>
      <c r="I19" s="9"/>
      <c r="J19" s="9"/>
      <c r="K19" s="23"/>
      <c r="L19" s="9"/>
      <c r="M19" s="14"/>
      <c r="N19" s="9"/>
      <c r="O19" s="6"/>
    </row>
    <row r="20" spans="1:15" ht="15.75">
      <c r="A20" s="7"/>
      <c r="B20" s="9"/>
      <c r="C20" s="9"/>
      <c r="D20" s="9"/>
      <c r="E20" s="9"/>
      <c r="F20" s="9"/>
      <c r="G20" s="9"/>
      <c r="H20" s="9"/>
      <c r="I20" s="9"/>
      <c r="J20" s="9"/>
      <c r="K20" s="9"/>
      <c r="L20" s="9"/>
      <c r="M20" s="25"/>
      <c r="N20" s="9"/>
      <c r="O20" s="6"/>
    </row>
    <row r="21" spans="1:15" ht="31.5">
      <c r="A21" s="7"/>
      <c r="B21" s="9"/>
      <c r="C21" s="145" t="s">
        <v>165</v>
      </c>
      <c r="D21" s="147" t="s">
        <v>168</v>
      </c>
      <c r="E21" s="147" t="s">
        <v>179</v>
      </c>
      <c r="F21" s="147"/>
      <c r="G21" s="147" t="s">
        <v>185</v>
      </c>
      <c r="H21" s="147"/>
      <c r="I21" s="147" t="s">
        <v>198</v>
      </c>
      <c r="J21" s="147"/>
      <c r="K21" s="148"/>
      <c r="L21" s="149"/>
      <c r="M21" s="14"/>
      <c r="N21" s="9"/>
      <c r="O21" s="6"/>
    </row>
    <row r="22" spans="1:15" ht="15.75">
      <c r="A22" s="28"/>
      <c r="B22" s="29" t="s">
        <v>12</v>
      </c>
      <c r="C22" s="146" t="s">
        <v>166</v>
      </c>
      <c r="D22" s="30" t="s">
        <v>169</v>
      </c>
      <c r="E22" s="30"/>
      <c r="F22" s="30"/>
      <c r="G22" s="30" t="s">
        <v>186</v>
      </c>
      <c r="H22" s="30"/>
      <c r="I22" s="30" t="s">
        <v>199</v>
      </c>
      <c r="J22" s="30"/>
      <c r="K22" s="30"/>
      <c r="L22" s="31"/>
      <c r="M22" s="31"/>
      <c r="N22" s="29"/>
      <c r="O22" s="6"/>
    </row>
    <row r="23" spans="1:15" ht="15.75">
      <c r="A23" s="28"/>
      <c r="B23" s="29" t="s">
        <v>13</v>
      </c>
      <c r="C23" s="32"/>
      <c r="D23" s="33" t="s">
        <v>170</v>
      </c>
      <c r="E23" s="34"/>
      <c r="F23" s="33"/>
      <c r="G23" s="33" t="s">
        <v>187</v>
      </c>
      <c r="H23" s="33"/>
      <c r="I23" s="33" t="s">
        <v>200</v>
      </c>
      <c r="J23" s="35"/>
      <c r="K23" s="35"/>
      <c r="L23" s="36"/>
      <c r="M23" s="31"/>
      <c r="N23" s="29"/>
      <c r="O23" s="6"/>
    </row>
    <row r="24" spans="1:15" ht="15.75">
      <c r="A24" s="28"/>
      <c r="B24" s="32" t="s">
        <v>14</v>
      </c>
      <c r="C24" s="32"/>
      <c r="D24" s="35" t="s">
        <v>169</v>
      </c>
      <c r="E24" s="35"/>
      <c r="F24" s="35"/>
      <c r="G24" s="35" t="s">
        <v>186</v>
      </c>
      <c r="H24" s="35"/>
      <c r="I24" s="35" t="s">
        <v>199</v>
      </c>
      <c r="J24" s="35"/>
      <c r="K24" s="35"/>
      <c r="L24" s="36"/>
      <c r="M24" s="31"/>
      <c r="N24" s="29"/>
      <c r="O24" s="6"/>
    </row>
    <row r="25" spans="1:15" ht="15.75">
      <c r="A25" s="28"/>
      <c r="B25" s="32" t="s">
        <v>15</v>
      </c>
      <c r="C25" s="32"/>
      <c r="D25" s="35" t="s">
        <v>170</v>
      </c>
      <c r="E25" s="35"/>
      <c r="F25" s="35"/>
      <c r="G25" s="35" t="s">
        <v>187</v>
      </c>
      <c r="H25" s="35"/>
      <c r="I25" s="35" t="s">
        <v>200</v>
      </c>
      <c r="J25" s="35"/>
      <c r="K25" s="35"/>
      <c r="L25" s="36"/>
      <c r="M25" s="31"/>
      <c r="N25" s="29"/>
      <c r="O25" s="6"/>
    </row>
    <row r="26" spans="1:15" ht="15.75">
      <c r="A26" s="28"/>
      <c r="B26" s="29" t="s">
        <v>16</v>
      </c>
      <c r="C26" s="29"/>
      <c r="D26" s="37" t="s">
        <v>171</v>
      </c>
      <c r="E26" s="37"/>
      <c r="F26" s="30"/>
      <c r="G26" s="37" t="s">
        <v>188</v>
      </c>
      <c r="H26" s="30"/>
      <c r="I26" s="37" t="s">
        <v>201</v>
      </c>
      <c r="J26" s="30"/>
      <c r="K26" s="37"/>
      <c r="L26" s="31"/>
      <c r="M26" s="31"/>
      <c r="N26" s="29"/>
      <c r="O26" s="6"/>
    </row>
    <row r="27" spans="1:15" ht="15.75">
      <c r="A27" s="28"/>
      <c r="B27" s="29"/>
      <c r="C27" s="29"/>
      <c r="D27" s="29"/>
      <c r="E27" s="29"/>
      <c r="F27" s="30"/>
      <c r="G27" s="30"/>
      <c r="H27" s="30"/>
      <c r="I27" s="30"/>
      <c r="J27" s="30"/>
      <c r="K27" s="30"/>
      <c r="L27" s="31"/>
      <c r="M27" s="31"/>
      <c r="N27" s="29"/>
      <c r="O27" s="6"/>
    </row>
    <row r="28" spans="1:15" ht="15.75">
      <c r="A28" s="28"/>
      <c r="B28" s="29" t="s">
        <v>17</v>
      </c>
      <c r="C28" s="29"/>
      <c r="D28" s="38" t="s">
        <v>172</v>
      </c>
      <c r="E28" s="38">
        <v>168668</v>
      </c>
      <c r="F28" s="39"/>
      <c r="G28" s="38">
        <v>16580</v>
      </c>
      <c r="H28" s="38"/>
      <c r="I28" s="38">
        <v>9750</v>
      </c>
      <c r="J28" s="38"/>
      <c r="K28" s="38"/>
      <c r="L28" s="39" t="s">
        <v>172</v>
      </c>
      <c r="M28" s="38">
        <f>K28+I28+G28+E28</f>
        <v>194998</v>
      </c>
      <c r="N28" s="40"/>
      <c r="O28" s="6"/>
    </row>
    <row r="29" spans="1:15" ht="15.75">
      <c r="A29" s="28"/>
      <c r="B29" s="29" t="s">
        <v>18</v>
      </c>
      <c r="C29" s="41">
        <f>M28/M29</f>
        <v>1</v>
      </c>
      <c r="D29" s="38" t="s">
        <v>173</v>
      </c>
      <c r="E29" s="38">
        <v>168668</v>
      </c>
      <c r="F29" s="39"/>
      <c r="G29" s="38">
        <v>16580</v>
      </c>
      <c r="H29" s="38"/>
      <c r="I29" s="38">
        <v>9750</v>
      </c>
      <c r="J29" s="42"/>
      <c r="K29" s="38"/>
      <c r="L29" s="39" t="s">
        <v>172</v>
      </c>
      <c r="M29" s="38">
        <f>K29+I29+G29+E29</f>
        <v>194998</v>
      </c>
      <c r="N29" s="40"/>
      <c r="O29" s="6"/>
    </row>
    <row r="30" spans="1:15" ht="15.75">
      <c r="A30" s="43"/>
      <c r="B30" s="32" t="s">
        <v>19</v>
      </c>
      <c r="C30" s="44">
        <f>M29/M30</f>
        <v>1</v>
      </c>
      <c r="D30" s="45" t="s">
        <v>172</v>
      </c>
      <c r="E30" s="45">
        <v>168668</v>
      </c>
      <c r="F30" s="46"/>
      <c r="G30" s="45">
        <v>16580</v>
      </c>
      <c r="H30" s="45"/>
      <c r="I30" s="45">
        <v>9750</v>
      </c>
      <c r="J30" s="45"/>
      <c r="K30" s="45"/>
      <c r="L30" s="46" t="s">
        <v>172</v>
      </c>
      <c r="M30" s="45">
        <f>K30+I30+G30+E30</f>
        <v>194998</v>
      </c>
      <c r="N30" s="29"/>
      <c r="O30" s="6"/>
    </row>
    <row r="31" spans="1:15" ht="15.75">
      <c r="A31" s="28"/>
      <c r="B31" s="29" t="s">
        <v>20</v>
      </c>
      <c r="C31" s="47"/>
      <c r="D31" s="37" t="s">
        <v>174</v>
      </c>
      <c r="E31" s="37"/>
      <c r="F31" s="29"/>
      <c r="G31" s="37" t="s">
        <v>189</v>
      </c>
      <c r="H31" s="37"/>
      <c r="I31" s="37" t="s">
        <v>202</v>
      </c>
      <c r="J31" s="37"/>
      <c r="K31" s="37"/>
      <c r="L31" s="31"/>
      <c r="M31" s="31"/>
      <c r="N31" s="29"/>
      <c r="O31" s="6"/>
    </row>
    <row r="32" spans="1:15" ht="15.75">
      <c r="A32" s="28"/>
      <c r="B32" s="29" t="s">
        <v>21</v>
      </c>
      <c r="C32" s="47"/>
      <c r="D32" s="48" t="s">
        <v>175</v>
      </c>
      <c r="E32" s="49">
        <v>0.0643371</v>
      </c>
      <c r="F32" s="50"/>
      <c r="G32" s="48">
        <v>0.0685871</v>
      </c>
      <c r="H32" s="48"/>
      <c r="I32" s="48">
        <v>0.0785871</v>
      </c>
      <c r="J32" s="51"/>
      <c r="K32" s="48"/>
      <c r="L32" s="31"/>
      <c r="M32" s="51">
        <f>SUMPRODUCT(E32:K32,E30:K30)/M30</f>
        <v>0.06541096998841013</v>
      </c>
      <c r="N32" s="29"/>
      <c r="O32" s="6"/>
    </row>
    <row r="33" spans="1:15" ht="15.75">
      <c r="A33" s="28"/>
      <c r="B33" s="29" t="s">
        <v>22</v>
      </c>
      <c r="C33" s="47"/>
      <c r="D33" s="48">
        <v>0.0540561</v>
      </c>
      <c r="E33" s="48"/>
      <c r="F33" s="50"/>
      <c r="G33" s="48" t="s">
        <v>175</v>
      </c>
      <c r="H33" s="48"/>
      <c r="I33" s="48" t="s">
        <v>175</v>
      </c>
      <c r="J33" s="51"/>
      <c r="K33" s="48"/>
      <c r="L33" s="31"/>
      <c r="M33" s="51"/>
      <c r="N33" s="29"/>
      <c r="O33" s="6"/>
    </row>
    <row r="34" spans="1:15" ht="15.75">
      <c r="A34" s="28"/>
      <c r="B34" s="29" t="s">
        <v>23</v>
      </c>
      <c r="C34" s="47"/>
      <c r="D34" s="48" t="s">
        <v>175</v>
      </c>
      <c r="E34" s="48"/>
      <c r="F34" s="48"/>
      <c r="G34" s="48" t="s">
        <v>175</v>
      </c>
      <c r="H34" s="48"/>
      <c r="I34" s="48" t="s">
        <v>175</v>
      </c>
      <c r="J34" s="51"/>
      <c r="K34" s="48"/>
      <c r="L34" s="31"/>
      <c r="M34" s="31"/>
      <c r="N34" s="29"/>
      <c r="O34" s="6"/>
    </row>
    <row r="35" spans="1:15" ht="15.75">
      <c r="A35" s="28"/>
      <c r="B35" s="29" t="s">
        <v>24</v>
      </c>
      <c r="C35" s="47"/>
      <c r="D35" s="48" t="s">
        <v>175</v>
      </c>
      <c r="E35" s="48"/>
      <c r="F35" s="50"/>
      <c r="G35" s="48" t="s">
        <v>175</v>
      </c>
      <c r="H35" s="48"/>
      <c r="I35" s="48" t="s">
        <v>175</v>
      </c>
      <c r="J35" s="51"/>
      <c r="K35" s="48"/>
      <c r="L35" s="31"/>
      <c r="M35" s="31"/>
      <c r="N35" s="29"/>
      <c r="O35" s="6"/>
    </row>
    <row r="36" spans="1:15" ht="15.75">
      <c r="A36" s="28"/>
      <c r="B36" s="29" t="s">
        <v>25</v>
      </c>
      <c r="C36" s="47"/>
      <c r="D36" s="37" t="s">
        <v>176</v>
      </c>
      <c r="E36" s="37"/>
      <c r="F36" s="29"/>
      <c r="G36" s="37" t="s">
        <v>176</v>
      </c>
      <c r="H36" s="37"/>
      <c r="I36" s="37" t="s">
        <v>176</v>
      </c>
      <c r="J36" s="37"/>
      <c r="K36" s="37"/>
      <c r="L36" s="31"/>
      <c r="M36" s="31"/>
      <c r="N36" s="29"/>
      <c r="O36" s="6"/>
    </row>
    <row r="37" spans="1:15" ht="15.75">
      <c r="A37" s="28"/>
      <c r="B37" s="29" t="s">
        <v>26</v>
      </c>
      <c r="C37" s="29"/>
      <c r="D37" s="52">
        <v>39036</v>
      </c>
      <c r="E37" s="52"/>
      <c r="F37" s="29"/>
      <c r="G37" s="52">
        <v>39036</v>
      </c>
      <c r="H37" s="52"/>
      <c r="I37" s="52">
        <v>39036</v>
      </c>
      <c r="J37" s="37"/>
      <c r="K37" s="37"/>
      <c r="L37" s="31"/>
      <c r="M37" s="31"/>
      <c r="N37" s="29"/>
      <c r="O37" s="6"/>
    </row>
    <row r="38" spans="1:15" ht="15.75">
      <c r="A38" s="28"/>
      <c r="B38" s="29" t="s">
        <v>27</v>
      </c>
      <c r="C38" s="29"/>
      <c r="D38" s="37" t="s">
        <v>177</v>
      </c>
      <c r="E38" s="37"/>
      <c r="F38" s="29"/>
      <c r="G38" s="37" t="s">
        <v>190</v>
      </c>
      <c r="H38" s="37"/>
      <c r="I38" s="37" t="s">
        <v>203</v>
      </c>
      <c r="J38" s="37"/>
      <c r="K38" s="37"/>
      <c r="L38" s="31"/>
      <c r="M38" s="31"/>
      <c r="N38" s="29"/>
      <c r="O38" s="6"/>
    </row>
    <row r="39" spans="1:15" ht="15.75">
      <c r="A39" s="28"/>
      <c r="B39" s="29"/>
      <c r="C39" s="29"/>
      <c r="D39" s="29"/>
      <c r="E39" s="53"/>
      <c r="F39" s="53"/>
      <c r="G39" s="29"/>
      <c r="H39" s="53"/>
      <c r="I39" s="53"/>
      <c r="J39" s="53"/>
      <c r="K39" s="53"/>
      <c r="L39" s="53"/>
      <c r="M39" s="53"/>
      <c r="N39" s="29"/>
      <c r="O39" s="6"/>
    </row>
    <row r="40" spans="1:15" ht="15.75">
      <c r="A40" s="28"/>
      <c r="B40" s="29" t="s">
        <v>28</v>
      </c>
      <c r="C40" s="29"/>
      <c r="D40" s="29"/>
      <c r="E40" s="29"/>
      <c r="F40" s="29"/>
      <c r="G40" s="29"/>
      <c r="H40" s="29"/>
      <c r="I40" s="29"/>
      <c r="J40" s="29"/>
      <c r="K40" s="29"/>
      <c r="L40" s="29"/>
      <c r="M40" s="51">
        <f>(I28+G28)/(E28)</f>
        <v>0.15610548533213175</v>
      </c>
      <c r="N40" s="29"/>
      <c r="O40" s="6"/>
    </row>
    <row r="41" spans="1:15" ht="15.75">
      <c r="A41" s="28"/>
      <c r="B41" s="29" t="s">
        <v>29</v>
      </c>
      <c r="C41" s="29"/>
      <c r="D41" s="29"/>
      <c r="E41" s="29"/>
      <c r="F41" s="29"/>
      <c r="G41" s="29"/>
      <c r="H41" s="29"/>
      <c r="I41" s="29"/>
      <c r="J41" s="29"/>
      <c r="K41" s="29"/>
      <c r="L41" s="29"/>
      <c r="M41" s="51">
        <f>(I30+G30)/(E30)</f>
        <v>0.15610548533213175</v>
      </c>
      <c r="N41" s="29"/>
      <c r="O41" s="6"/>
    </row>
    <row r="42" spans="1:15" ht="15.75">
      <c r="A42" s="28"/>
      <c r="B42" s="29" t="s">
        <v>30</v>
      </c>
      <c r="C42" s="29"/>
      <c r="D42" s="29"/>
      <c r="E42" s="29"/>
      <c r="F42" s="29"/>
      <c r="G42" s="29"/>
      <c r="H42" s="29"/>
      <c r="I42" s="29"/>
      <c r="J42" s="29"/>
      <c r="K42" s="37" t="s">
        <v>168</v>
      </c>
      <c r="L42" s="37" t="s">
        <v>216</v>
      </c>
      <c r="M42" s="38">
        <v>60336</v>
      </c>
      <c r="N42" s="29"/>
      <c r="O42" s="6"/>
    </row>
    <row r="43" spans="1:15" ht="15.75">
      <c r="A43" s="28"/>
      <c r="B43" s="29"/>
      <c r="C43" s="29"/>
      <c r="D43" s="29"/>
      <c r="E43" s="29"/>
      <c r="F43" s="29"/>
      <c r="G43" s="29"/>
      <c r="H43" s="29"/>
      <c r="I43" s="29"/>
      <c r="J43" s="29"/>
      <c r="K43" s="29"/>
      <c r="L43" s="29"/>
      <c r="M43" s="54"/>
      <c r="N43" s="29"/>
      <c r="O43" s="6"/>
    </row>
    <row r="44" spans="1:15" ht="15.75">
      <c r="A44" s="28"/>
      <c r="B44" s="29" t="s">
        <v>31</v>
      </c>
      <c r="C44" s="29"/>
      <c r="D44" s="29"/>
      <c r="E44" s="29"/>
      <c r="F44" s="29"/>
      <c r="G44" s="29"/>
      <c r="H44" s="29"/>
      <c r="I44" s="29"/>
      <c r="J44" s="29"/>
      <c r="K44" s="37"/>
      <c r="L44" s="37"/>
      <c r="M44" s="37" t="s">
        <v>219</v>
      </c>
      <c r="N44" s="29"/>
      <c r="O44" s="6"/>
    </row>
    <row r="45" spans="1:15" ht="15.75">
      <c r="A45" s="43"/>
      <c r="B45" s="32" t="s">
        <v>32</v>
      </c>
      <c r="C45" s="32"/>
      <c r="D45" s="32"/>
      <c r="E45" s="32"/>
      <c r="F45" s="32"/>
      <c r="G45" s="32"/>
      <c r="H45" s="32"/>
      <c r="I45" s="32"/>
      <c r="J45" s="32"/>
      <c r="K45" s="55"/>
      <c r="L45" s="55"/>
      <c r="M45" s="56">
        <v>36937</v>
      </c>
      <c r="N45" s="32"/>
      <c r="O45" s="6"/>
    </row>
    <row r="46" spans="1:15" ht="15.75">
      <c r="A46" s="28"/>
      <c r="B46" s="29" t="s">
        <v>33</v>
      </c>
      <c r="C46" s="29"/>
      <c r="D46" s="29"/>
      <c r="E46" s="29"/>
      <c r="F46" s="29"/>
      <c r="G46" s="29"/>
      <c r="H46" s="29"/>
      <c r="I46" s="31"/>
      <c r="J46" s="57"/>
      <c r="K46" s="58" t="s">
        <v>175</v>
      </c>
      <c r="L46" s="59"/>
      <c r="M46" s="58" t="s">
        <v>175</v>
      </c>
      <c r="N46" s="29"/>
      <c r="O46" s="6"/>
    </row>
    <row r="47" spans="1:15" ht="15.75">
      <c r="A47" s="28"/>
      <c r="B47" s="29" t="s">
        <v>34</v>
      </c>
      <c r="C47" s="29"/>
      <c r="D47" s="29"/>
      <c r="E47" s="29"/>
      <c r="F47" s="29"/>
      <c r="G47" s="29"/>
      <c r="H47" s="29"/>
      <c r="I47" s="31"/>
      <c r="J47" s="29">
        <f>M47-K47+1</f>
        <v>84</v>
      </c>
      <c r="K47" s="58">
        <v>36853</v>
      </c>
      <c r="L47" s="59"/>
      <c r="M47" s="58">
        <v>36936</v>
      </c>
      <c r="N47" s="29"/>
      <c r="O47" s="6"/>
    </row>
    <row r="48" spans="1:15" ht="15.75">
      <c r="A48" s="28"/>
      <c r="B48" s="29" t="s">
        <v>35</v>
      </c>
      <c r="C48" s="29"/>
      <c r="D48" s="29"/>
      <c r="E48" s="29"/>
      <c r="F48" s="29"/>
      <c r="G48" s="29"/>
      <c r="H48" s="29"/>
      <c r="I48" s="29"/>
      <c r="J48" s="29"/>
      <c r="K48" s="58"/>
      <c r="L48" s="59"/>
      <c r="M48" s="58" t="s">
        <v>220</v>
      </c>
      <c r="N48" s="29"/>
      <c r="O48" s="6"/>
    </row>
    <row r="49" spans="1:15" ht="15.75">
      <c r="A49" s="28"/>
      <c r="B49" s="29" t="s">
        <v>36</v>
      </c>
      <c r="C49" s="29"/>
      <c r="D49" s="29"/>
      <c r="E49" s="29"/>
      <c r="F49" s="29"/>
      <c r="G49" s="29"/>
      <c r="H49" s="29"/>
      <c r="I49" s="29"/>
      <c r="J49" s="29"/>
      <c r="K49" s="58"/>
      <c r="L49" s="59"/>
      <c r="M49" s="58" t="s">
        <v>221</v>
      </c>
      <c r="N49" s="29"/>
      <c r="O49" s="6"/>
    </row>
    <row r="50" spans="1:15" ht="15.75">
      <c r="A50" s="28"/>
      <c r="B50" s="29" t="s">
        <v>37</v>
      </c>
      <c r="C50" s="29"/>
      <c r="D50" s="29"/>
      <c r="E50" s="29"/>
      <c r="F50" s="29"/>
      <c r="G50" s="29"/>
      <c r="H50" s="29"/>
      <c r="I50" s="29"/>
      <c r="J50" s="29"/>
      <c r="K50" s="58"/>
      <c r="L50" s="59"/>
      <c r="M50" s="58">
        <v>36927</v>
      </c>
      <c r="N50" s="29"/>
      <c r="O50" s="6"/>
    </row>
    <row r="51" spans="1:15" ht="15.75">
      <c r="A51" s="28"/>
      <c r="B51" s="29"/>
      <c r="C51" s="29"/>
      <c r="D51" s="29"/>
      <c r="E51" s="29"/>
      <c r="F51" s="29"/>
      <c r="G51" s="29"/>
      <c r="H51" s="29"/>
      <c r="I51" s="29"/>
      <c r="J51" s="29"/>
      <c r="K51" s="29"/>
      <c r="L51" s="29"/>
      <c r="M51" s="60"/>
      <c r="N51" s="29"/>
      <c r="O51" s="6"/>
    </row>
    <row r="52" spans="1:15" ht="15.75">
      <c r="A52" s="7"/>
      <c r="B52" s="9"/>
      <c r="C52" s="9"/>
      <c r="D52" s="9"/>
      <c r="E52" s="9"/>
      <c r="F52" s="9"/>
      <c r="G52" s="9"/>
      <c r="H52" s="9"/>
      <c r="I52" s="9"/>
      <c r="J52" s="9"/>
      <c r="K52" s="9"/>
      <c r="L52" s="9"/>
      <c r="M52" s="61"/>
      <c r="N52" s="9"/>
      <c r="O52" s="6"/>
    </row>
    <row r="53" spans="1:15" ht="16.5" thickBot="1">
      <c r="A53" s="134"/>
      <c r="B53" s="135" t="s">
        <v>38</v>
      </c>
      <c r="C53" s="136"/>
      <c r="D53" s="136"/>
      <c r="E53" s="136"/>
      <c r="F53" s="136"/>
      <c r="G53" s="136"/>
      <c r="H53" s="136"/>
      <c r="I53" s="136"/>
      <c r="J53" s="136"/>
      <c r="K53" s="136"/>
      <c r="L53" s="136"/>
      <c r="M53" s="137"/>
      <c r="N53" s="138"/>
      <c r="O53" s="6"/>
    </row>
    <row r="54" spans="1:15" ht="15.75">
      <c r="A54" s="2"/>
      <c r="B54" s="5"/>
      <c r="C54" s="5"/>
      <c r="D54" s="5"/>
      <c r="E54" s="5"/>
      <c r="F54" s="5"/>
      <c r="G54" s="5"/>
      <c r="H54" s="5"/>
      <c r="I54" s="5"/>
      <c r="J54" s="5"/>
      <c r="K54" s="5"/>
      <c r="L54" s="5"/>
      <c r="M54" s="62"/>
      <c r="N54" s="5"/>
      <c r="O54" s="6"/>
    </row>
    <row r="55" spans="1:15" ht="15.75">
      <c r="A55" s="7"/>
      <c r="B55" s="63" t="s">
        <v>39</v>
      </c>
      <c r="C55" s="15"/>
      <c r="D55" s="15"/>
      <c r="E55" s="9"/>
      <c r="F55" s="9"/>
      <c r="G55" s="9"/>
      <c r="H55" s="9"/>
      <c r="I55" s="9"/>
      <c r="J55" s="9"/>
      <c r="K55" s="9"/>
      <c r="L55" s="9"/>
      <c r="M55" s="64"/>
      <c r="N55" s="9"/>
      <c r="O55" s="6"/>
    </row>
    <row r="56" spans="1:15" ht="15.75">
      <c r="A56" s="7"/>
      <c r="B56" s="15"/>
      <c r="C56" s="15"/>
      <c r="D56" s="15"/>
      <c r="E56" s="9"/>
      <c r="F56" s="9"/>
      <c r="G56" s="9"/>
      <c r="H56" s="9"/>
      <c r="I56" s="9"/>
      <c r="J56" s="9"/>
      <c r="K56" s="9"/>
      <c r="L56" s="9"/>
      <c r="M56" s="64"/>
      <c r="N56" s="9"/>
      <c r="O56" s="6"/>
    </row>
    <row r="57" spans="1:15" s="156" customFormat="1" ht="47.25">
      <c r="A57" s="150"/>
      <c r="B57" s="151" t="s">
        <v>40</v>
      </c>
      <c r="C57" s="152" t="s">
        <v>167</v>
      </c>
      <c r="D57" s="152"/>
      <c r="E57" s="152" t="s">
        <v>180</v>
      </c>
      <c r="F57" s="152"/>
      <c r="G57" s="152" t="s">
        <v>191</v>
      </c>
      <c r="H57" s="152"/>
      <c r="I57" s="152" t="s">
        <v>204</v>
      </c>
      <c r="J57" s="152"/>
      <c r="K57" s="152" t="s">
        <v>209</v>
      </c>
      <c r="L57" s="152"/>
      <c r="M57" s="153" t="s">
        <v>222</v>
      </c>
      <c r="N57" s="154"/>
      <c r="O57" s="155"/>
    </row>
    <row r="58" spans="1:15" ht="15.75">
      <c r="A58" s="28"/>
      <c r="B58" s="29" t="s">
        <v>41</v>
      </c>
      <c r="C58" s="65">
        <v>73021</v>
      </c>
      <c r="D58" s="65"/>
      <c r="E58" s="65">
        <v>0</v>
      </c>
      <c r="F58" s="65"/>
      <c r="G58" s="65">
        <f>3966+18</f>
        <v>3984</v>
      </c>
      <c r="H58" s="65"/>
      <c r="I58" s="65">
        <v>0</v>
      </c>
      <c r="J58" s="65"/>
      <c r="K58" s="65">
        <v>0</v>
      </c>
      <c r="L58" s="65"/>
      <c r="M58" s="66">
        <f>C58-G58+I58-K58</f>
        <v>69037</v>
      </c>
      <c r="N58" s="29"/>
      <c r="O58" s="6"/>
    </row>
    <row r="59" spans="1:15" ht="15.75">
      <c r="A59" s="28"/>
      <c r="B59" s="29" t="s">
        <v>42</v>
      </c>
      <c r="C59" s="65">
        <v>506</v>
      </c>
      <c r="D59" s="65"/>
      <c r="E59" s="65">
        <v>0</v>
      </c>
      <c r="F59" s="65"/>
      <c r="G59" s="65">
        <f>406+100</f>
        <v>506</v>
      </c>
      <c r="H59" s="65"/>
      <c r="I59" s="65">
        <v>0</v>
      </c>
      <c r="J59" s="65"/>
      <c r="K59" s="65">
        <v>0</v>
      </c>
      <c r="L59" s="65"/>
      <c r="M59" s="66">
        <f>C59-G59</f>
        <v>0</v>
      </c>
      <c r="N59" s="29"/>
      <c r="O59" s="6"/>
    </row>
    <row r="60" spans="1:15" ht="15.75">
      <c r="A60" s="28"/>
      <c r="B60" s="29"/>
      <c r="C60" s="65"/>
      <c r="D60" s="65"/>
      <c r="E60" s="65"/>
      <c r="F60" s="65"/>
      <c r="G60" s="65"/>
      <c r="H60" s="65"/>
      <c r="I60" s="65"/>
      <c r="J60" s="65"/>
      <c r="K60" s="65"/>
      <c r="L60" s="65"/>
      <c r="M60" s="66"/>
      <c r="N60" s="29"/>
      <c r="O60" s="6"/>
    </row>
    <row r="61" spans="1:15" ht="15.75">
      <c r="A61" s="28"/>
      <c r="B61" s="29" t="s">
        <v>43</v>
      </c>
      <c r="C61" s="65">
        <f>SUM(C58:C60)</f>
        <v>73527</v>
      </c>
      <c r="D61" s="65"/>
      <c r="E61" s="65">
        <f>SUM(E58:E60)</f>
        <v>0</v>
      </c>
      <c r="F61" s="65"/>
      <c r="G61" s="65">
        <f>SUM(G58:G60)</f>
        <v>4490</v>
      </c>
      <c r="H61" s="65"/>
      <c r="I61" s="65">
        <f>SUM(I58:I60)</f>
        <v>0</v>
      </c>
      <c r="J61" s="65"/>
      <c r="K61" s="65">
        <f>SUM(K58:K60)</f>
        <v>0</v>
      </c>
      <c r="L61" s="65"/>
      <c r="M61" s="67">
        <f>SUM(M58:M60)</f>
        <v>69037</v>
      </c>
      <c r="N61" s="29"/>
      <c r="O61" s="6"/>
    </row>
    <row r="62" spans="1:15" ht="15.75">
      <c r="A62" s="28"/>
      <c r="B62" s="29"/>
      <c r="C62" s="65"/>
      <c r="D62" s="65"/>
      <c r="E62" s="65"/>
      <c r="F62" s="65"/>
      <c r="G62" s="65"/>
      <c r="H62" s="65"/>
      <c r="I62" s="65"/>
      <c r="J62" s="65"/>
      <c r="K62" s="65"/>
      <c r="L62" s="65"/>
      <c r="M62" s="67"/>
      <c r="N62" s="29"/>
      <c r="O62" s="6"/>
    </row>
    <row r="63" spans="1:15" ht="15.75">
      <c r="A63" s="7"/>
      <c r="B63" s="144" t="s">
        <v>44</v>
      </c>
      <c r="C63" s="68"/>
      <c r="D63" s="68"/>
      <c r="E63" s="68"/>
      <c r="F63" s="68"/>
      <c r="G63" s="69"/>
      <c r="H63" s="68"/>
      <c r="I63" s="68"/>
      <c r="J63" s="68"/>
      <c r="K63" s="68"/>
      <c r="L63" s="68"/>
      <c r="M63" s="70"/>
      <c r="N63" s="9"/>
      <c r="O63" s="6"/>
    </row>
    <row r="64" spans="1:15" ht="15.75">
      <c r="A64" s="7"/>
      <c r="B64" s="9"/>
      <c r="C64" s="68"/>
      <c r="D64" s="68"/>
      <c r="E64" s="68"/>
      <c r="F64" s="68"/>
      <c r="G64" s="68"/>
      <c r="H64" s="68"/>
      <c r="I64" s="68"/>
      <c r="J64" s="68"/>
      <c r="K64" s="68"/>
      <c r="L64" s="68"/>
      <c r="M64" s="70"/>
      <c r="N64" s="9"/>
      <c r="O64" s="6"/>
    </row>
    <row r="65" spans="1:15" ht="15.75">
      <c r="A65" s="28"/>
      <c r="B65" s="29" t="s">
        <v>41</v>
      </c>
      <c r="C65" s="65">
        <v>79997</v>
      </c>
      <c r="D65" s="65"/>
      <c r="E65" s="66">
        <v>0</v>
      </c>
      <c r="F65" s="65"/>
      <c r="G65" s="65">
        <f>5593+132</f>
        <v>5725</v>
      </c>
      <c r="H65" s="65"/>
      <c r="I65" s="65">
        <v>0</v>
      </c>
      <c r="J65" s="65"/>
      <c r="K65" s="65"/>
      <c r="L65" s="65"/>
      <c r="M65" s="66">
        <f>C65-G65+I65-K65</f>
        <v>74272</v>
      </c>
      <c r="N65" s="29"/>
      <c r="O65" s="6"/>
    </row>
    <row r="66" spans="1:15" ht="15.75">
      <c r="A66" s="28"/>
      <c r="B66" s="29" t="s">
        <v>42</v>
      </c>
      <c r="C66" s="65">
        <v>611</v>
      </c>
      <c r="D66" s="65"/>
      <c r="E66" s="66">
        <v>0</v>
      </c>
      <c r="F66" s="65"/>
      <c r="G66" s="65">
        <v>611</v>
      </c>
      <c r="H66" s="65"/>
      <c r="I66" s="65">
        <v>0</v>
      </c>
      <c r="J66" s="65"/>
      <c r="K66" s="65"/>
      <c r="L66" s="65"/>
      <c r="M66" s="66">
        <v>0</v>
      </c>
      <c r="N66" s="29"/>
      <c r="O66" s="6"/>
    </row>
    <row r="67" spans="1:15" ht="15.75">
      <c r="A67" s="28"/>
      <c r="B67" s="65"/>
      <c r="C67" s="65"/>
      <c r="D67" s="65"/>
      <c r="E67" s="66"/>
      <c r="F67" s="65"/>
      <c r="G67" s="65"/>
      <c r="H67" s="65"/>
      <c r="I67" s="65"/>
      <c r="J67" s="65"/>
      <c r="K67" s="65"/>
      <c r="L67" s="65"/>
      <c r="M67" s="66"/>
      <c r="N67" s="29"/>
      <c r="O67" s="6"/>
    </row>
    <row r="68" spans="1:15" ht="15.75">
      <c r="A68" s="28"/>
      <c r="B68" s="29" t="s">
        <v>43</v>
      </c>
      <c r="C68" s="65">
        <f>SUM(C65:C67)</f>
        <v>80608</v>
      </c>
      <c r="D68" s="65"/>
      <c r="E68" s="65">
        <v>0</v>
      </c>
      <c r="F68" s="65"/>
      <c r="G68" s="65">
        <f>SUM(G65:G67)</f>
        <v>6336</v>
      </c>
      <c r="H68" s="65"/>
      <c r="I68" s="65">
        <f>SUM(I65:I67)</f>
        <v>0</v>
      </c>
      <c r="J68" s="65"/>
      <c r="K68" s="65">
        <f>SUM(K65:K67)</f>
        <v>0</v>
      </c>
      <c r="L68" s="65"/>
      <c r="M68" s="65">
        <f>SUM(M65:M67)</f>
        <v>74272</v>
      </c>
      <c r="N68" s="29"/>
      <c r="O68" s="6"/>
    </row>
    <row r="69" spans="1:15" ht="15.75">
      <c r="A69" s="28"/>
      <c r="B69" s="29"/>
      <c r="C69" s="65"/>
      <c r="D69" s="65"/>
      <c r="E69" s="67"/>
      <c r="F69" s="65"/>
      <c r="G69" s="65"/>
      <c r="H69" s="65"/>
      <c r="I69" s="65"/>
      <c r="J69" s="65"/>
      <c r="K69" s="65"/>
      <c r="L69" s="65"/>
      <c r="M69" s="67"/>
      <c r="N69" s="29"/>
      <c r="O69" s="6"/>
    </row>
    <row r="70" spans="1:15" ht="15.75">
      <c r="A70" s="28"/>
      <c r="B70" s="29" t="s">
        <v>45</v>
      </c>
      <c r="C70" s="65">
        <v>0</v>
      </c>
      <c r="D70" s="65"/>
      <c r="E70" s="65">
        <v>0</v>
      </c>
      <c r="F70" s="65"/>
      <c r="G70" s="65"/>
      <c r="H70" s="65"/>
      <c r="I70" s="65"/>
      <c r="J70" s="65"/>
      <c r="K70" s="65"/>
      <c r="L70" s="65"/>
      <c r="M70" s="65">
        <f>E70+G70</f>
        <v>0</v>
      </c>
      <c r="N70" s="29"/>
      <c r="O70" s="6"/>
    </row>
    <row r="71" spans="1:15" ht="15.75">
      <c r="A71" s="28"/>
      <c r="B71" s="29" t="s">
        <v>46</v>
      </c>
      <c r="C71" s="65">
        <v>0</v>
      </c>
      <c r="D71" s="65"/>
      <c r="E71" s="67">
        <v>0</v>
      </c>
      <c r="F71" s="65"/>
      <c r="G71" s="65"/>
      <c r="H71" s="65"/>
      <c r="I71" s="65">
        <v>0</v>
      </c>
      <c r="J71" s="65"/>
      <c r="K71" s="65"/>
      <c r="L71" s="65"/>
      <c r="M71" s="67">
        <v>25</v>
      </c>
      <c r="N71" s="29"/>
      <c r="O71" s="6"/>
    </row>
    <row r="72" spans="1:15" ht="15.75">
      <c r="A72" s="28"/>
      <c r="B72" s="29" t="s">
        <v>47</v>
      </c>
      <c r="C72" s="65">
        <v>40958</v>
      </c>
      <c r="D72" s="65"/>
      <c r="E72" s="67">
        <v>0</v>
      </c>
      <c r="F72" s="65"/>
      <c r="G72" s="65">
        <f>G68+G61</f>
        <v>10826</v>
      </c>
      <c r="H72" s="65"/>
      <c r="I72" s="65">
        <f>-I68</f>
        <v>0</v>
      </c>
      <c r="J72" s="65"/>
      <c r="K72" s="65"/>
      <c r="L72" s="65"/>
      <c r="M72" s="67">
        <f>G88+C72</f>
        <v>51634</v>
      </c>
      <c r="N72" s="29"/>
      <c r="O72" s="6"/>
    </row>
    <row r="73" spans="1:15" ht="15.75">
      <c r="A73" s="28"/>
      <c r="B73" s="29" t="s">
        <v>48</v>
      </c>
      <c r="C73" s="65">
        <v>0</v>
      </c>
      <c r="D73" s="65"/>
      <c r="E73" s="67">
        <v>0</v>
      </c>
      <c r="F73" s="65"/>
      <c r="G73" s="65"/>
      <c r="H73" s="65"/>
      <c r="I73" s="65">
        <v>-150</v>
      </c>
      <c r="J73" s="65"/>
      <c r="K73" s="65"/>
      <c r="L73" s="65"/>
      <c r="M73" s="67">
        <f>-I73+E73</f>
        <v>150</v>
      </c>
      <c r="N73" s="29"/>
      <c r="O73" s="6"/>
    </row>
    <row r="74" spans="1:15" ht="15.75">
      <c r="A74" s="28"/>
      <c r="B74" s="29" t="s">
        <v>49</v>
      </c>
      <c r="C74" s="65">
        <v>-95</v>
      </c>
      <c r="D74" s="65"/>
      <c r="E74" s="67">
        <v>0</v>
      </c>
      <c r="F74" s="65"/>
      <c r="G74" s="65">
        <v>-95</v>
      </c>
      <c r="H74" s="65"/>
      <c r="I74" s="65"/>
      <c r="J74" s="65"/>
      <c r="K74" s="65"/>
      <c r="L74" s="65"/>
      <c r="M74" s="67">
        <f>E74+G74+I74</f>
        <v>-95</v>
      </c>
      <c r="N74" s="29"/>
      <c r="O74" s="6"/>
    </row>
    <row r="75" spans="1:15" ht="15.75">
      <c r="A75" s="28"/>
      <c r="B75" s="29" t="s">
        <v>50</v>
      </c>
      <c r="C75" s="65">
        <v>0</v>
      </c>
      <c r="D75" s="65"/>
      <c r="E75" s="67">
        <v>0</v>
      </c>
      <c r="F75" s="65"/>
      <c r="G75" s="65"/>
      <c r="H75" s="65"/>
      <c r="I75" s="71"/>
      <c r="J75" s="65"/>
      <c r="K75" s="65"/>
      <c r="L75" s="65"/>
      <c r="M75" s="67">
        <v>0</v>
      </c>
      <c r="N75" s="29"/>
      <c r="O75" s="6"/>
    </row>
    <row r="76" spans="1:15" ht="15.75">
      <c r="A76" s="28"/>
      <c r="B76" s="29" t="s">
        <v>19</v>
      </c>
      <c r="C76" s="67">
        <f>SUM(C68:C74)+C61</f>
        <v>194998</v>
      </c>
      <c r="D76" s="67"/>
      <c r="E76" s="67">
        <f>SUM(E68:E75)</f>
        <v>0</v>
      </c>
      <c r="F76" s="65"/>
      <c r="G76" s="65">
        <f>G72-G74</f>
        <v>10921</v>
      </c>
      <c r="H76" s="65"/>
      <c r="I76" s="65"/>
      <c r="J76" s="65"/>
      <c r="K76" s="65"/>
      <c r="L76" s="65"/>
      <c r="M76" s="67">
        <f>SUM(M68:M75)+M61</f>
        <v>195023</v>
      </c>
      <c r="N76" s="29"/>
      <c r="O76" s="6"/>
    </row>
    <row r="77" spans="1:15" ht="15.75">
      <c r="A77" s="28"/>
      <c r="B77" s="65"/>
      <c r="C77" s="65"/>
      <c r="D77" s="65"/>
      <c r="E77" s="65"/>
      <c r="F77" s="65"/>
      <c r="G77" s="65"/>
      <c r="H77" s="65"/>
      <c r="I77" s="65"/>
      <c r="J77" s="65"/>
      <c r="K77" s="65"/>
      <c r="L77" s="65"/>
      <c r="M77" s="65"/>
      <c r="N77" s="29"/>
      <c r="O77" s="6"/>
    </row>
    <row r="78" spans="1:15" ht="15.75">
      <c r="A78" s="7"/>
      <c r="B78" s="68"/>
      <c r="C78" s="9"/>
      <c r="D78" s="9"/>
      <c r="E78" s="9"/>
      <c r="F78" s="9"/>
      <c r="G78" s="20" t="s">
        <v>192</v>
      </c>
      <c r="H78" s="9"/>
      <c r="I78" s="9"/>
      <c r="J78" s="9"/>
      <c r="K78" s="23"/>
      <c r="L78" s="9"/>
      <c r="M78" s="20" t="s">
        <v>192</v>
      </c>
      <c r="N78" s="9"/>
      <c r="O78" s="6"/>
    </row>
    <row r="79" spans="1:15" ht="15.75">
      <c r="A79" s="7"/>
      <c r="B79" s="63" t="s">
        <v>51</v>
      </c>
      <c r="C79" s="17"/>
      <c r="D79" s="17" t="s">
        <v>178</v>
      </c>
      <c r="E79" s="17" t="s">
        <v>181</v>
      </c>
      <c r="F79" s="17"/>
      <c r="G79" s="20" t="s">
        <v>193</v>
      </c>
      <c r="H79" s="17"/>
      <c r="I79" s="17" t="s">
        <v>178</v>
      </c>
      <c r="J79" s="20"/>
      <c r="K79" s="20" t="s">
        <v>181</v>
      </c>
      <c r="L79" s="20"/>
      <c r="M79" s="20" t="s">
        <v>223</v>
      </c>
      <c r="N79" s="17"/>
      <c r="O79" s="6"/>
    </row>
    <row r="80" spans="1:15" ht="15.75">
      <c r="A80" s="28"/>
      <c r="B80" s="29" t="s">
        <v>52</v>
      </c>
      <c r="C80" s="29"/>
      <c r="D80" s="29">
        <v>0</v>
      </c>
      <c r="E80" s="29">
        <v>0</v>
      </c>
      <c r="F80" s="29"/>
      <c r="G80" s="65">
        <f>SUM(C80:E80)</f>
        <v>0</v>
      </c>
      <c r="H80" s="29"/>
      <c r="I80" s="29">
        <v>0</v>
      </c>
      <c r="J80" s="29"/>
      <c r="K80" s="65">
        <f>SUM(G80:I80)</f>
        <v>0</v>
      </c>
      <c r="L80" s="29"/>
      <c r="M80" s="66">
        <v>0</v>
      </c>
      <c r="N80" s="29"/>
      <c r="O80" s="6"/>
    </row>
    <row r="81" spans="1:15" ht="15.75">
      <c r="A81" s="28"/>
      <c r="B81" s="29" t="s">
        <v>53</v>
      </c>
      <c r="C81" s="53"/>
      <c r="D81" s="29">
        <v>3966</v>
      </c>
      <c r="E81" s="29">
        <v>5593</v>
      </c>
      <c r="F81" s="29"/>
      <c r="G81" s="65">
        <f>E81+D81</f>
        <v>9559</v>
      </c>
      <c r="H81" s="29"/>
      <c r="I81" s="29"/>
      <c r="J81" s="29"/>
      <c r="K81" s="65">
        <v>0</v>
      </c>
      <c r="L81" s="29"/>
      <c r="M81" s="66"/>
      <c r="N81" s="29"/>
      <c r="O81" s="6"/>
    </row>
    <row r="82" spans="1:15" ht="15.75">
      <c r="A82" s="28"/>
      <c r="B82" s="29" t="s">
        <v>54</v>
      </c>
      <c r="C82" s="29"/>
      <c r="D82" s="29"/>
      <c r="E82" s="29"/>
      <c r="F82" s="29"/>
      <c r="G82" s="65"/>
      <c r="H82" s="29"/>
      <c r="I82" s="29">
        <f>179+23+1251+115+1234+84+5-1096</f>
        <v>1795</v>
      </c>
      <c r="J82" s="29"/>
      <c r="K82" s="65">
        <f>538+29+2182+110+2340+98+7-3156</f>
        <v>2148</v>
      </c>
      <c r="L82" s="29"/>
      <c r="M82" s="66">
        <f>K82+I82</f>
        <v>3943</v>
      </c>
      <c r="N82" s="29"/>
      <c r="O82" s="6"/>
    </row>
    <row r="83" spans="1:15" ht="15.75">
      <c r="A83" s="28"/>
      <c r="B83" s="29" t="s">
        <v>55</v>
      </c>
      <c r="C83" s="29"/>
      <c r="D83" s="29"/>
      <c r="E83" s="29"/>
      <c r="F83" s="29"/>
      <c r="G83" s="65"/>
      <c r="H83" s="29"/>
      <c r="I83" s="29"/>
      <c r="J83" s="29"/>
      <c r="K83" s="65"/>
      <c r="L83" s="29"/>
      <c r="M83" s="66">
        <f>38+51+227+140-1</f>
        <v>455</v>
      </c>
      <c r="N83" s="29"/>
      <c r="O83" s="6"/>
    </row>
    <row r="84" spans="1:15" ht="15.75">
      <c r="A84" s="28"/>
      <c r="B84" s="29" t="s">
        <v>56</v>
      </c>
      <c r="C84" s="29"/>
      <c r="D84" s="29"/>
      <c r="E84" s="29"/>
      <c r="F84" s="29"/>
      <c r="G84" s="65"/>
      <c r="H84" s="29"/>
      <c r="I84" s="29"/>
      <c r="J84" s="29"/>
      <c r="K84" s="65"/>
      <c r="L84" s="29"/>
      <c r="M84" s="66">
        <v>22</v>
      </c>
      <c r="N84" s="29"/>
      <c r="O84" s="6"/>
    </row>
    <row r="85" spans="1:15" ht="15.75">
      <c r="A85" s="28"/>
      <c r="B85" s="29" t="s">
        <v>57</v>
      </c>
      <c r="C85" s="29"/>
      <c r="D85" s="29"/>
      <c r="E85" s="29"/>
      <c r="F85" s="29"/>
      <c r="G85" s="65"/>
      <c r="H85" s="29"/>
      <c r="I85" s="29"/>
      <c r="J85" s="29"/>
      <c r="K85" s="65"/>
      <c r="L85" s="29"/>
      <c r="M85" s="66">
        <v>0</v>
      </c>
      <c r="N85" s="29"/>
      <c r="O85" s="6"/>
    </row>
    <row r="86" spans="1:15" ht="15.75">
      <c r="A86" s="28"/>
      <c r="B86" s="29" t="s">
        <v>58</v>
      </c>
      <c r="C86" s="29"/>
      <c r="D86" s="65">
        <f>SUM(D80:D85)</f>
        <v>3966</v>
      </c>
      <c r="E86" s="65">
        <f>SUM(E80:E85)</f>
        <v>5593</v>
      </c>
      <c r="F86" s="29"/>
      <c r="G86" s="65">
        <f>SUM(G80:G85)</f>
        <v>9559</v>
      </c>
      <c r="H86" s="29"/>
      <c r="I86" s="65">
        <f>SUM(I80:I85)</f>
        <v>1795</v>
      </c>
      <c r="J86" s="29"/>
      <c r="K86" s="65">
        <f>SUM(K80:K85)</f>
        <v>2148</v>
      </c>
      <c r="L86" s="29"/>
      <c r="M86" s="67">
        <f>SUM(M80:M85)</f>
        <v>4420</v>
      </c>
      <c r="N86" s="29"/>
      <c r="O86" s="6"/>
    </row>
    <row r="87" spans="1:15" ht="15.75">
      <c r="A87" s="28"/>
      <c r="B87" s="29" t="s">
        <v>59</v>
      </c>
      <c r="C87" s="29"/>
      <c r="D87" s="65">
        <f>G59</f>
        <v>506</v>
      </c>
      <c r="E87" s="65">
        <f>G66</f>
        <v>611</v>
      </c>
      <c r="F87" s="29"/>
      <c r="G87" s="65">
        <f>E87+D87</f>
        <v>1117</v>
      </c>
      <c r="H87" s="29"/>
      <c r="I87" s="65">
        <v>0</v>
      </c>
      <c r="J87" s="29"/>
      <c r="K87" s="65">
        <v>0</v>
      </c>
      <c r="L87" s="29"/>
      <c r="M87" s="66">
        <f>-G87</f>
        <v>-1117</v>
      </c>
      <c r="N87" s="29"/>
      <c r="O87" s="6"/>
    </row>
    <row r="88" spans="1:15" ht="15.75">
      <c r="A88" s="28"/>
      <c r="B88" s="29" t="s">
        <v>60</v>
      </c>
      <c r="C88" s="29"/>
      <c r="D88" s="65">
        <f>D86+D87</f>
        <v>4472</v>
      </c>
      <c r="E88" s="65">
        <f>E86+E87</f>
        <v>6204</v>
      </c>
      <c r="F88" s="29"/>
      <c r="G88" s="65">
        <f>G86+G87</f>
        <v>10676</v>
      </c>
      <c r="H88" s="29"/>
      <c r="I88" s="65">
        <f>I86+I87</f>
        <v>1795</v>
      </c>
      <c r="J88" s="29"/>
      <c r="K88" s="65">
        <f>K86+K87</f>
        <v>2148</v>
      </c>
      <c r="L88" s="29"/>
      <c r="M88" s="67">
        <f>M86+M87</f>
        <v>3303</v>
      </c>
      <c r="N88" s="29"/>
      <c r="O88" s="6"/>
    </row>
    <row r="89" spans="1:15" ht="15.75">
      <c r="A89" s="28"/>
      <c r="B89" s="157" t="s">
        <v>61</v>
      </c>
      <c r="C89" s="72"/>
      <c r="D89" s="72"/>
      <c r="E89" s="29"/>
      <c r="F89" s="29"/>
      <c r="G89" s="29"/>
      <c r="H89" s="29"/>
      <c r="I89" s="29"/>
      <c r="J89" s="29"/>
      <c r="K89" s="65"/>
      <c r="L89" s="29"/>
      <c r="M89" s="66"/>
      <c r="N89" s="29"/>
      <c r="O89" s="6"/>
    </row>
    <row r="90" spans="1:15" ht="15.75">
      <c r="A90" s="28">
        <v>1</v>
      </c>
      <c r="B90" s="29" t="s">
        <v>62</v>
      </c>
      <c r="C90" s="29"/>
      <c r="D90" s="29"/>
      <c r="E90" s="29"/>
      <c r="F90" s="29"/>
      <c r="G90" s="29"/>
      <c r="H90" s="29"/>
      <c r="I90" s="29"/>
      <c r="J90" s="29"/>
      <c r="K90" s="29"/>
      <c r="L90" s="29"/>
      <c r="M90" s="66">
        <v>-4</v>
      </c>
      <c r="N90" s="29"/>
      <c r="O90" s="6"/>
    </row>
    <row r="91" spans="1:15" ht="15.75">
      <c r="A91" s="28">
        <v>2</v>
      </c>
      <c r="B91" s="29" t="s">
        <v>63</v>
      </c>
      <c r="C91" s="29"/>
      <c r="D91" s="29"/>
      <c r="E91" s="29"/>
      <c r="F91" s="29"/>
      <c r="G91" s="29"/>
      <c r="H91" s="29"/>
      <c r="I91" s="29"/>
      <c r="J91" s="29"/>
      <c r="K91" s="29"/>
      <c r="L91" s="29"/>
      <c r="M91" s="66">
        <v>-186</v>
      </c>
      <c r="N91" s="29"/>
      <c r="O91" s="6"/>
    </row>
    <row r="92" spans="1:15" ht="15.75">
      <c r="A92" s="28">
        <v>3</v>
      </c>
      <c r="B92" s="29" t="s">
        <v>64</v>
      </c>
      <c r="C92" s="29"/>
      <c r="D92" s="29"/>
      <c r="E92" s="29"/>
      <c r="F92" s="29"/>
      <c r="G92" s="29"/>
      <c r="H92" s="29"/>
      <c r="I92" s="29"/>
      <c r="J92" s="29"/>
      <c r="K92" s="29"/>
      <c r="L92" s="29"/>
      <c r="M92" s="66">
        <v>-2497</v>
      </c>
      <c r="N92" s="29"/>
      <c r="O92" s="6"/>
    </row>
    <row r="93" spans="1:15" ht="15.75">
      <c r="A93" s="28">
        <v>4</v>
      </c>
      <c r="B93" s="29" t="s">
        <v>65</v>
      </c>
      <c r="C93" s="29"/>
      <c r="D93" s="29"/>
      <c r="E93" s="29"/>
      <c r="F93" s="29"/>
      <c r="G93" s="29"/>
      <c r="H93" s="29"/>
      <c r="I93" s="29"/>
      <c r="J93" s="29"/>
      <c r="K93" s="29"/>
      <c r="L93" s="29"/>
      <c r="M93" s="66">
        <v>-3</v>
      </c>
      <c r="N93" s="29"/>
      <c r="O93" s="6"/>
    </row>
    <row r="94" spans="1:15" ht="15.75">
      <c r="A94" s="28">
        <v>5</v>
      </c>
      <c r="B94" s="29" t="s">
        <v>66</v>
      </c>
      <c r="C94" s="29"/>
      <c r="D94" s="29"/>
      <c r="E94" s="29"/>
      <c r="F94" s="29"/>
      <c r="G94" s="29"/>
      <c r="H94" s="29"/>
      <c r="I94" s="29"/>
      <c r="J94" s="29"/>
      <c r="K94" s="29"/>
      <c r="L94" s="29"/>
      <c r="M94" s="66">
        <v>-262</v>
      </c>
      <c r="N94" s="29"/>
      <c r="O94" s="6"/>
    </row>
    <row r="95" spans="1:15" ht="15.75">
      <c r="A95" s="28">
        <v>6</v>
      </c>
      <c r="B95" s="29" t="s">
        <v>67</v>
      </c>
      <c r="C95" s="29"/>
      <c r="D95" s="29"/>
      <c r="E95" s="29"/>
      <c r="F95" s="29"/>
      <c r="G95" s="29"/>
      <c r="H95" s="29"/>
      <c r="I95" s="29"/>
      <c r="J95" s="29"/>
      <c r="K95" s="29"/>
      <c r="L95" s="29"/>
      <c r="M95" s="66">
        <v>-176</v>
      </c>
      <c r="N95" s="29"/>
      <c r="O95" s="6"/>
    </row>
    <row r="96" spans="1:15" ht="15.75">
      <c r="A96" s="28">
        <v>7</v>
      </c>
      <c r="B96" s="29" t="s">
        <v>68</v>
      </c>
      <c r="C96" s="29"/>
      <c r="D96" s="29"/>
      <c r="E96" s="29"/>
      <c r="F96" s="29"/>
      <c r="G96" s="29"/>
      <c r="H96" s="29"/>
      <c r="I96" s="29"/>
      <c r="J96" s="29"/>
      <c r="K96" s="29"/>
      <c r="L96" s="29"/>
      <c r="M96" s="66">
        <v>0</v>
      </c>
      <c r="N96" s="29"/>
      <c r="O96" s="6"/>
    </row>
    <row r="97" spans="1:15" ht="15.75">
      <c r="A97" s="28">
        <v>8</v>
      </c>
      <c r="B97" s="29" t="s">
        <v>69</v>
      </c>
      <c r="C97" s="29"/>
      <c r="D97" s="29"/>
      <c r="E97" s="29"/>
      <c r="F97" s="29"/>
      <c r="G97" s="29"/>
      <c r="H97" s="29"/>
      <c r="I97" s="29"/>
      <c r="J97" s="29"/>
      <c r="K97" s="65">
        <f>-M97</f>
        <v>150</v>
      </c>
      <c r="L97" s="29"/>
      <c r="M97" s="66">
        <f>-M73</f>
        <v>-150</v>
      </c>
      <c r="N97" s="29"/>
      <c r="O97" s="6"/>
    </row>
    <row r="98" spans="1:15" ht="15.75">
      <c r="A98" s="28">
        <v>9</v>
      </c>
      <c r="B98" s="29" t="s">
        <v>46</v>
      </c>
      <c r="C98" s="29"/>
      <c r="D98" s="29"/>
      <c r="E98" s="29"/>
      <c r="F98" s="29"/>
      <c r="G98" s="29"/>
      <c r="H98" s="29"/>
      <c r="I98" s="29"/>
      <c r="J98" s="29"/>
      <c r="K98" s="65">
        <f>-M98</f>
        <v>25</v>
      </c>
      <c r="L98" s="29"/>
      <c r="M98" s="66">
        <v>-25</v>
      </c>
      <c r="N98" s="29"/>
      <c r="O98" s="6"/>
    </row>
    <row r="99" spans="1:15" ht="15.75">
      <c r="A99" s="28">
        <v>10</v>
      </c>
      <c r="B99" s="29" t="s">
        <v>70</v>
      </c>
      <c r="C99" s="29"/>
      <c r="D99" s="29"/>
      <c r="E99" s="29"/>
      <c r="F99" s="29"/>
      <c r="G99" s="29"/>
      <c r="H99" s="29"/>
      <c r="I99" s="29"/>
      <c r="J99" s="29"/>
      <c r="K99" s="29"/>
      <c r="L99" s="29"/>
      <c r="M99" s="66"/>
      <c r="N99" s="29"/>
      <c r="O99" s="6"/>
    </row>
    <row r="100" spans="1:15" ht="15.75">
      <c r="A100" s="28">
        <v>11</v>
      </c>
      <c r="B100" s="29" t="s">
        <v>71</v>
      </c>
      <c r="C100" s="29"/>
      <c r="D100" s="29"/>
      <c r="E100" s="29"/>
      <c r="F100" s="29"/>
      <c r="G100" s="29"/>
      <c r="H100" s="29"/>
      <c r="I100" s="29"/>
      <c r="J100" s="29"/>
      <c r="K100" s="29"/>
      <c r="L100" s="29"/>
      <c r="M100" s="66"/>
      <c r="N100" s="29"/>
      <c r="O100" s="6"/>
    </row>
    <row r="101" spans="1:15" ht="15.75">
      <c r="A101" s="28"/>
      <c r="B101" s="157" t="s">
        <v>72</v>
      </c>
      <c r="C101" s="72"/>
      <c r="D101" s="72"/>
      <c r="E101" s="29"/>
      <c r="F101" s="29"/>
      <c r="G101" s="29"/>
      <c r="H101" s="29"/>
      <c r="I101" s="29"/>
      <c r="J101" s="29"/>
      <c r="K101" s="29"/>
      <c r="L101" s="29"/>
      <c r="M101" s="73"/>
      <c r="N101" s="29"/>
      <c r="O101" s="6"/>
    </row>
    <row r="102" spans="1:15" ht="15.75">
      <c r="A102" s="28"/>
      <c r="B102" s="74" t="s">
        <v>73</v>
      </c>
      <c r="C102" s="72"/>
      <c r="D102" s="72"/>
      <c r="E102" s="29"/>
      <c r="F102" s="29"/>
      <c r="G102" s="29"/>
      <c r="H102" s="29"/>
      <c r="I102" s="29"/>
      <c r="J102" s="29"/>
      <c r="K102" s="65">
        <f>C72</f>
        <v>40958</v>
      </c>
      <c r="L102" s="29"/>
      <c r="M102" s="73"/>
      <c r="N102" s="29"/>
      <c r="O102" s="6"/>
    </row>
    <row r="103" spans="1:15" ht="15.75">
      <c r="A103" s="28"/>
      <c r="B103" s="74" t="s">
        <v>74</v>
      </c>
      <c r="C103" s="72"/>
      <c r="D103" s="72"/>
      <c r="E103" s="29"/>
      <c r="F103" s="29"/>
      <c r="G103" s="29"/>
      <c r="H103" s="29"/>
      <c r="I103" s="29"/>
      <c r="J103" s="29"/>
      <c r="K103" s="65">
        <f>G88</f>
        <v>10676</v>
      </c>
      <c r="L103" s="29"/>
      <c r="M103" s="73"/>
      <c r="N103" s="29"/>
      <c r="O103" s="6"/>
    </row>
    <row r="104" spans="1:15" ht="15.75">
      <c r="A104" s="75"/>
      <c r="B104" s="29" t="s">
        <v>75</v>
      </c>
      <c r="C104" s="72"/>
      <c r="D104" s="72"/>
      <c r="E104" s="29"/>
      <c r="F104" s="29"/>
      <c r="G104" s="29"/>
      <c r="H104" s="29"/>
      <c r="I104" s="29"/>
      <c r="J104" s="29"/>
      <c r="K104" s="65">
        <f>-I68</f>
        <v>0</v>
      </c>
      <c r="L104" s="29"/>
      <c r="M104" s="73"/>
      <c r="N104" s="29"/>
      <c r="O104" s="6"/>
    </row>
    <row r="105" spans="1:15" ht="15.75">
      <c r="A105" s="28"/>
      <c r="B105" s="29" t="s">
        <v>76</v>
      </c>
      <c r="C105" s="72"/>
      <c r="D105" s="72"/>
      <c r="E105" s="29"/>
      <c r="F105" s="29"/>
      <c r="G105" s="29"/>
      <c r="H105" s="29"/>
      <c r="I105" s="29"/>
      <c r="J105" s="29"/>
      <c r="K105" s="65">
        <v>0</v>
      </c>
      <c r="L105" s="65"/>
      <c r="M105" s="66"/>
      <c r="N105" s="29"/>
      <c r="O105" s="6"/>
    </row>
    <row r="106" spans="1:15" ht="15.75">
      <c r="A106" s="28"/>
      <c r="B106" s="29" t="s">
        <v>77</v>
      </c>
      <c r="C106" s="29"/>
      <c r="D106" s="29"/>
      <c r="E106" s="29"/>
      <c r="F106" s="29"/>
      <c r="G106" s="29"/>
      <c r="H106" s="29"/>
      <c r="I106" s="29"/>
      <c r="J106" s="29"/>
      <c r="K106" s="65">
        <v>0</v>
      </c>
      <c r="L106" s="65"/>
      <c r="M106" s="66"/>
      <c r="N106" s="29"/>
      <c r="O106" s="6"/>
    </row>
    <row r="107" spans="1:15" ht="15.75">
      <c r="A107" s="28"/>
      <c r="B107" s="29" t="s">
        <v>78</v>
      </c>
      <c r="C107" s="29"/>
      <c r="D107" s="29"/>
      <c r="E107" s="29"/>
      <c r="F107" s="29"/>
      <c r="G107" s="29"/>
      <c r="H107" s="29"/>
      <c r="I107" s="29"/>
      <c r="J107" s="29"/>
      <c r="K107" s="65">
        <v>0</v>
      </c>
      <c r="L107" s="65"/>
      <c r="M107" s="66"/>
      <c r="N107" s="29"/>
      <c r="O107" s="6"/>
    </row>
    <row r="108" spans="1:15" ht="15.75">
      <c r="A108" s="28"/>
      <c r="B108" s="29" t="s">
        <v>79</v>
      </c>
      <c r="C108" s="29"/>
      <c r="D108" s="29"/>
      <c r="E108" s="29"/>
      <c r="F108" s="29"/>
      <c r="G108" s="29"/>
      <c r="H108" s="29"/>
      <c r="I108" s="29"/>
      <c r="J108" s="29"/>
      <c r="K108" s="65">
        <v>0</v>
      </c>
      <c r="L108" s="65"/>
      <c r="M108" s="66"/>
      <c r="N108" s="29"/>
      <c r="O108" s="6"/>
    </row>
    <row r="109" spans="1:15" ht="15.75">
      <c r="A109" s="28"/>
      <c r="B109" s="29" t="s">
        <v>80</v>
      </c>
      <c r="C109" s="29"/>
      <c r="D109" s="29"/>
      <c r="E109" s="29"/>
      <c r="F109" s="29"/>
      <c r="G109" s="29"/>
      <c r="H109" s="29"/>
      <c r="I109" s="29"/>
      <c r="J109" s="29"/>
      <c r="K109" s="65">
        <v>0</v>
      </c>
      <c r="L109" s="65"/>
      <c r="M109" s="66"/>
      <c r="N109" s="29"/>
      <c r="O109" s="6"/>
    </row>
    <row r="110" spans="1:15" ht="15.75">
      <c r="A110" s="28"/>
      <c r="B110" s="29" t="s">
        <v>81</v>
      </c>
      <c r="C110" s="29"/>
      <c r="D110" s="29"/>
      <c r="E110" s="29"/>
      <c r="F110" s="29"/>
      <c r="G110" s="29"/>
      <c r="H110" s="29"/>
      <c r="I110" s="29"/>
      <c r="J110" s="29"/>
      <c r="K110" s="65">
        <v>0</v>
      </c>
      <c r="L110" s="65"/>
      <c r="M110" s="66"/>
      <c r="N110" s="29"/>
      <c r="O110" s="6"/>
    </row>
    <row r="111" spans="1:15" ht="15.75">
      <c r="A111" s="28"/>
      <c r="B111" s="29" t="s">
        <v>82</v>
      </c>
      <c r="C111" s="29"/>
      <c r="D111" s="29"/>
      <c r="E111" s="29"/>
      <c r="F111" s="29"/>
      <c r="G111" s="29"/>
      <c r="H111" s="29"/>
      <c r="I111" s="29"/>
      <c r="J111" s="29"/>
      <c r="K111" s="65">
        <f>SUM(K104:K110)</f>
        <v>0</v>
      </c>
      <c r="L111" s="65"/>
      <c r="M111" s="65">
        <f>SUM(M89:M98)</f>
        <v>-3303</v>
      </c>
      <c r="N111" s="29"/>
      <c r="O111" s="6"/>
    </row>
    <row r="112" spans="1:15" ht="15.75">
      <c r="A112" s="28"/>
      <c r="B112" s="29" t="s">
        <v>83</v>
      </c>
      <c r="C112" s="29"/>
      <c r="D112" s="29"/>
      <c r="E112" s="29"/>
      <c r="F112" s="29"/>
      <c r="G112" s="29"/>
      <c r="H112" s="29"/>
      <c r="I112" s="29"/>
      <c r="J112" s="29"/>
      <c r="K112" s="65">
        <f>SUM(K102:K111)+SUM(K97:K98)</f>
        <v>51809</v>
      </c>
      <c r="L112" s="65"/>
      <c r="M112" s="65">
        <f>M88+M111</f>
        <v>0</v>
      </c>
      <c r="N112" s="29"/>
      <c r="O112" s="6"/>
    </row>
    <row r="113" spans="1:15" ht="15.75">
      <c r="A113" s="28"/>
      <c r="B113" s="29"/>
      <c r="C113" s="29"/>
      <c r="D113" s="29"/>
      <c r="E113" s="29"/>
      <c r="F113" s="29"/>
      <c r="G113" s="29"/>
      <c r="H113" s="29"/>
      <c r="I113" s="29"/>
      <c r="J113" s="29"/>
      <c r="K113" s="65"/>
      <c r="L113" s="65"/>
      <c r="M113" s="65"/>
      <c r="N113" s="29"/>
      <c r="O113" s="6"/>
    </row>
    <row r="114" spans="1:15" ht="15.75">
      <c r="A114" s="7"/>
      <c r="B114" s="14"/>
      <c r="C114" s="9"/>
      <c r="D114" s="9"/>
      <c r="E114" s="9"/>
      <c r="F114" s="9"/>
      <c r="G114" s="9"/>
      <c r="H114" s="9"/>
      <c r="I114" s="9"/>
      <c r="J114" s="9"/>
      <c r="K114" s="68"/>
      <c r="L114" s="68"/>
      <c r="M114" s="68"/>
      <c r="N114" s="9"/>
      <c r="O114" s="6"/>
    </row>
    <row r="115" spans="1:15" ht="16.5" thickBot="1">
      <c r="A115" s="134"/>
      <c r="B115" s="135" t="s">
        <v>38</v>
      </c>
      <c r="C115" s="136"/>
      <c r="D115" s="136"/>
      <c r="E115" s="136"/>
      <c r="F115" s="136"/>
      <c r="G115" s="136"/>
      <c r="H115" s="136"/>
      <c r="I115" s="136"/>
      <c r="J115" s="136"/>
      <c r="K115" s="139"/>
      <c r="L115" s="139"/>
      <c r="M115" s="139"/>
      <c r="N115" s="138"/>
      <c r="O115" s="6"/>
    </row>
    <row r="116" spans="1:15" ht="15.75">
      <c r="A116" s="2"/>
      <c r="B116" s="5"/>
      <c r="C116" s="5"/>
      <c r="D116" s="5"/>
      <c r="E116" s="5"/>
      <c r="F116" s="5"/>
      <c r="G116" s="5"/>
      <c r="H116" s="5"/>
      <c r="I116" s="5"/>
      <c r="J116" s="5"/>
      <c r="K116" s="76"/>
      <c r="L116" s="76"/>
      <c r="M116" s="76"/>
      <c r="N116" s="5"/>
      <c r="O116" s="6"/>
    </row>
    <row r="117" spans="1:15" ht="15.75">
      <c r="A117" s="7"/>
      <c r="B117" s="9"/>
      <c r="C117" s="9"/>
      <c r="D117" s="9"/>
      <c r="E117" s="9"/>
      <c r="F117" s="9"/>
      <c r="G117" s="9"/>
      <c r="H117" s="9"/>
      <c r="I117" s="9"/>
      <c r="J117" s="9"/>
      <c r="K117" s="9"/>
      <c r="L117" s="9"/>
      <c r="M117" s="64"/>
      <c r="N117" s="9"/>
      <c r="O117" s="6"/>
    </row>
    <row r="118" spans="1:15" ht="15.75">
      <c r="A118" s="77"/>
      <c r="B118" s="78"/>
      <c r="C118" s="78"/>
      <c r="D118" s="78"/>
      <c r="E118" s="78"/>
      <c r="F118" s="78"/>
      <c r="G118" s="78"/>
      <c r="H118" s="78"/>
      <c r="I118" s="78"/>
      <c r="J118" s="78"/>
      <c r="K118" s="78"/>
      <c r="L118" s="78"/>
      <c r="M118" s="79"/>
      <c r="N118" s="78"/>
      <c r="O118" s="6"/>
    </row>
    <row r="119" spans="1:15" ht="15.75">
      <c r="A119" s="77"/>
      <c r="B119" s="80" t="s">
        <v>84</v>
      </c>
      <c r="C119" s="78"/>
      <c r="D119" s="78"/>
      <c r="E119" s="78"/>
      <c r="F119" s="78"/>
      <c r="G119" s="78"/>
      <c r="H119" s="78"/>
      <c r="I119" s="78"/>
      <c r="J119" s="78"/>
      <c r="K119" s="78"/>
      <c r="L119" s="78"/>
      <c r="M119" s="79"/>
      <c r="N119" s="81"/>
      <c r="O119" s="6"/>
    </row>
    <row r="120" spans="1:15" ht="15.75">
      <c r="A120" s="77"/>
      <c r="B120" s="78"/>
      <c r="C120" s="78"/>
      <c r="D120" s="78"/>
      <c r="E120" s="78"/>
      <c r="F120" s="78"/>
      <c r="G120" s="78"/>
      <c r="H120" s="78"/>
      <c r="I120" s="78"/>
      <c r="J120" s="78"/>
      <c r="K120" s="78"/>
      <c r="L120" s="78"/>
      <c r="M120" s="79"/>
      <c r="N120" s="78"/>
      <c r="O120" s="6"/>
    </row>
    <row r="121" spans="1:15" ht="15.75">
      <c r="A121" s="7"/>
      <c r="B121" s="158" t="s">
        <v>85</v>
      </c>
      <c r="C121" s="15"/>
      <c r="D121" s="15"/>
      <c r="E121" s="9"/>
      <c r="F121" s="9"/>
      <c r="G121" s="9"/>
      <c r="H121" s="9"/>
      <c r="I121" s="9"/>
      <c r="J121" s="9"/>
      <c r="K121" s="9"/>
      <c r="L121" s="9"/>
      <c r="M121" s="64"/>
      <c r="N121" s="9"/>
      <c r="O121" s="6"/>
    </row>
    <row r="122" spans="1:15" ht="15.75">
      <c r="A122" s="28"/>
      <c r="B122" s="29" t="s">
        <v>86</v>
      </c>
      <c r="C122" s="29"/>
      <c r="D122" s="29"/>
      <c r="E122" s="29"/>
      <c r="F122" s="29"/>
      <c r="G122" s="29"/>
      <c r="H122" s="29"/>
      <c r="I122" s="29"/>
      <c r="J122" s="29"/>
      <c r="K122" s="29"/>
      <c r="L122" s="29"/>
      <c r="M122" s="66">
        <v>6852</v>
      </c>
      <c r="N122" s="29"/>
      <c r="O122" s="6"/>
    </row>
    <row r="123" spans="1:15" ht="15.75">
      <c r="A123" s="28"/>
      <c r="B123" s="29" t="s">
        <v>87</v>
      </c>
      <c r="C123" s="29"/>
      <c r="D123" s="29"/>
      <c r="E123" s="29"/>
      <c r="F123" s="29"/>
      <c r="G123" s="29"/>
      <c r="H123" s="29"/>
      <c r="I123" s="29"/>
      <c r="J123" s="29"/>
      <c r="K123" s="29"/>
      <c r="L123" s="29"/>
      <c r="M123" s="66">
        <v>0</v>
      </c>
      <c r="N123" s="29"/>
      <c r="O123" s="6"/>
    </row>
    <row r="124" spans="1:15" ht="15.75">
      <c r="A124" s="28"/>
      <c r="B124" s="29" t="s">
        <v>88</v>
      </c>
      <c r="C124" s="29"/>
      <c r="D124" s="29"/>
      <c r="E124" s="29"/>
      <c r="F124" s="29"/>
      <c r="G124" s="29"/>
      <c r="H124" s="29"/>
      <c r="I124" s="29"/>
      <c r="J124" s="29"/>
      <c r="K124" s="29"/>
      <c r="L124" s="29"/>
      <c r="M124" s="66">
        <v>0</v>
      </c>
      <c r="N124" s="29"/>
      <c r="O124" s="6"/>
    </row>
    <row r="125" spans="1:15" ht="15.75">
      <c r="A125" s="28"/>
      <c r="B125" s="29" t="s">
        <v>89</v>
      </c>
      <c r="C125" s="29"/>
      <c r="D125" s="29"/>
      <c r="E125" s="29"/>
      <c r="F125" s="29"/>
      <c r="G125" s="29"/>
      <c r="H125" s="29"/>
      <c r="I125" s="29"/>
      <c r="J125" s="29"/>
      <c r="K125" s="29"/>
      <c r="L125" s="29"/>
      <c r="M125" s="66">
        <v>-1000</v>
      </c>
      <c r="N125" s="29"/>
      <c r="O125" s="6"/>
    </row>
    <row r="126" spans="1:15" ht="15.75">
      <c r="A126" s="28"/>
      <c r="B126" s="29" t="s">
        <v>90</v>
      </c>
      <c r="C126" s="29"/>
      <c r="D126" s="29"/>
      <c r="E126" s="29"/>
      <c r="F126" s="29"/>
      <c r="G126" s="29"/>
      <c r="H126" s="29"/>
      <c r="I126" s="29"/>
      <c r="J126" s="29"/>
      <c r="K126" s="29"/>
      <c r="L126" s="29"/>
      <c r="M126" s="66">
        <v>0</v>
      </c>
      <c r="N126" s="29"/>
      <c r="O126" s="6"/>
    </row>
    <row r="127" spans="1:15" ht="15.75">
      <c r="A127" s="28"/>
      <c r="B127" s="29" t="s">
        <v>91</v>
      </c>
      <c r="C127" s="29"/>
      <c r="D127" s="29"/>
      <c r="E127" s="29"/>
      <c r="F127" s="29"/>
      <c r="G127" s="29"/>
      <c r="H127" s="29"/>
      <c r="I127" s="29"/>
      <c r="J127" s="29"/>
      <c r="K127" s="29"/>
      <c r="L127" s="29"/>
      <c r="M127" s="66">
        <v>0</v>
      </c>
      <c r="N127" s="29"/>
      <c r="O127" s="6"/>
    </row>
    <row r="128" spans="1:15" ht="15.75">
      <c r="A128" s="28"/>
      <c r="B128" s="29" t="s">
        <v>66</v>
      </c>
      <c r="C128" s="29"/>
      <c r="D128" s="29"/>
      <c r="E128" s="29"/>
      <c r="F128" s="29"/>
      <c r="G128" s="29"/>
      <c r="H128" s="29"/>
      <c r="I128" s="29"/>
      <c r="J128" s="29"/>
      <c r="K128" s="29"/>
      <c r="L128" s="29"/>
      <c r="M128" s="66">
        <v>0</v>
      </c>
      <c r="N128" s="29"/>
      <c r="O128" s="6"/>
    </row>
    <row r="129" spans="1:15" ht="15.75">
      <c r="A129" s="28"/>
      <c r="B129" s="29" t="s">
        <v>67</v>
      </c>
      <c r="C129" s="29"/>
      <c r="D129" s="29"/>
      <c r="E129" s="29"/>
      <c r="F129" s="29"/>
      <c r="G129" s="29"/>
      <c r="H129" s="29"/>
      <c r="I129" s="29"/>
      <c r="J129" s="29"/>
      <c r="K129" s="29"/>
      <c r="L129" s="29"/>
      <c r="M129" s="66">
        <v>0</v>
      </c>
      <c r="N129" s="29"/>
      <c r="O129" s="6"/>
    </row>
    <row r="130" spans="1:15" ht="15.75">
      <c r="A130" s="28"/>
      <c r="B130" s="29" t="s">
        <v>92</v>
      </c>
      <c r="C130" s="29"/>
      <c r="D130" s="29"/>
      <c r="E130" s="29"/>
      <c r="F130" s="29"/>
      <c r="G130" s="29"/>
      <c r="H130" s="29"/>
      <c r="I130" s="29"/>
      <c r="J130" s="29"/>
      <c r="K130" s="29"/>
      <c r="L130" s="29"/>
      <c r="M130" s="66">
        <f>M122+M125</f>
        <v>5852</v>
      </c>
      <c r="N130" s="29"/>
      <c r="O130" s="6"/>
    </row>
    <row r="131" spans="1:15" ht="15.75">
      <c r="A131" s="28"/>
      <c r="B131" s="29"/>
      <c r="C131" s="29"/>
      <c r="D131" s="29"/>
      <c r="E131" s="29"/>
      <c r="F131" s="29"/>
      <c r="G131" s="29"/>
      <c r="H131" s="29"/>
      <c r="I131" s="29"/>
      <c r="J131" s="29"/>
      <c r="K131" s="29"/>
      <c r="L131" s="29"/>
      <c r="M131" s="82"/>
      <c r="N131" s="29"/>
      <c r="O131" s="6"/>
    </row>
    <row r="132" spans="1:15" ht="15.75">
      <c r="A132" s="7"/>
      <c r="B132" s="158" t="s">
        <v>50</v>
      </c>
      <c r="C132" s="9"/>
      <c r="D132" s="9"/>
      <c r="E132" s="9"/>
      <c r="F132" s="9"/>
      <c r="G132" s="9"/>
      <c r="H132" s="9"/>
      <c r="I132" s="9"/>
      <c r="J132" s="9"/>
      <c r="K132" s="9"/>
      <c r="L132" s="9"/>
      <c r="M132" s="64"/>
      <c r="N132" s="9"/>
      <c r="O132" s="6"/>
    </row>
    <row r="133" spans="1:15" ht="15.75">
      <c r="A133" s="28"/>
      <c r="B133" s="29" t="s">
        <v>93</v>
      </c>
      <c r="C133" s="83"/>
      <c r="D133" s="83"/>
      <c r="E133" s="29"/>
      <c r="F133" s="29"/>
      <c r="G133" s="29"/>
      <c r="H133" s="29"/>
      <c r="I133" s="29"/>
      <c r="J133" s="29"/>
      <c r="K133" s="29"/>
      <c r="L133" s="29"/>
      <c r="M133" s="66">
        <v>2926</v>
      </c>
      <c r="N133" s="29"/>
      <c r="O133" s="6"/>
    </row>
    <row r="134" spans="1:15" ht="15.75">
      <c r="A134" s="28"/>
      <c r="B134" s="29" t="s">
        <v>94</v>
      </c>
      <c r="C134" s="29"/>
      <c r="D134" s="29"/>
      <c r="E134" s="29"/>
      <c r="F134" s="29"/>
      <c r="G134" s="29"/>
      <c r="H134" s="29"/>
      <c r="I134" s="29"/>
      <c r="J134" s="29"/>
      <c r="K134" s="29"/>
      <c r="L134" s="29"/>
      <c r="M134" s="66">
        <v>0</v>
      </c>
      <c r="N134" s="29"/>
      <c r="O134" s="6"/>
    </row>
    <row r="135" spans="1:15" ht="15.75">
      <c r="A135" s="28"/>
      <c r="B135" s="29" t="s">
        <v>95</v>
      </c>
      <c r="C135" s="29"/>
      <c r="D135" s="29"/>
      <c r="E135" s="29"/>
      <c r="F135" s="29"/>
      <c r="G135" s="29"/>
      <c r="H135" s="29"/>
      <c r="I135" s="29"/>
      <c r="J135" s="29"/>
      <c r="K135" s="29"/>
      <c r="L135" s="29"/>
      <c r="M135" s="66">
        <f>-M98</f>
        <v>25</v>
      </c>
      <c r="N135" s="29"/>
      <c r="O135" s="6"/>
    </row>
    <row r="136" spans="1:15" ht="15.75">
      <c r="A136" s="28"/>
      <c r="B136" s="29" t="s">
        <v>96</v>
      </c>
      <c r="C136" s="29"/>
      <c r="D136" s="29"/>
      <c r="E136" s="29"/>
      <c r="F136" s="29"/>
      <c r="G136" s="29"/>
      <c r="H136" s="29"/>
      <c r="I136" s="29"/>
      <c r="J136" s="29"/>
      <c r="K136" s="29"/>
      <c r="L136" s="29"/>
      <c r="M136" s="66">
        <f>M133-M134-M135</f>
        <v>2901</v>
      </c>
      <c r="N136" s="29"/>
      <c r="O136" s="6"/>
    </row>
    <row r="137" spans="1:15" ht="15.75">
      <c r="A137" s="28"/>
      <c r="B137" s="29"/>
      <c r="C137" s="29"/>
      <c r="D137" s="29"/>
      <c r="E137" s="29"/>
      <c r="F137" s="29"/>
      <c r="G137" s="29"/>
      <c r="H137" s="29"/>
      <c r="I137" s="29"/>
      <c r="J137" s="29"/>
      <c r="K137" s="29"/>
      <c r="L137" s="29"/>
      <c r="M137" s="84"/>
      <c r="N137" s="29"/>
      <c r="O137" s="6"/>
    </row>
    <row r="138" spans="1:15" ht="15.75">
      <c r="A138" s="7"/>
      <c r="B138" s="158" t="s">
        <v>97</v>
      </c>
      <c r="C138" s="15"/>
      <c r="D138" s="15"/>
      <c r="E138" s="9"/>
      <c r="F138" s="9"/>
      <c r="G138" s="17" t="s">
        <v>178</v>
      </c>
      <c r="H138" s="17"/>
      <c r="I138" s="17" t="s">
        <v>181</v>
      </c>
      <c r="J138" s="9"/>
      <c r="K138" s="9"/>
      <c r="L138" s="9"/>
      <c r="M138" s="85"/>
      <c r="N138" s="9"/>
      <c r="O138" s="6"/>
    </row>
    <row r="139" spans="1:15" ht="15.75">
      <c r="A139" s="7"/>
      <c r="B139" s="15"/>
      <c r="C139" s="15"/>
      <c r="D139" s="15"/>
      <c r="E139" s="9"/>
      <c r="F139" s="9"/>
      <c r="G139" s="9"/>
      <c r="H139" s="9"/>
      <c r="I139" s="9"/>
      <c r="J139" s="9"/>
      <c r="K139" s="9"/>
      <c r="L139" s="9"/>
      <c r="M139" s="85"/>
      <c r="N139" s="9"/>
      <c r="O139" s="6"/>
    </row>
    <row r="140" spans="1:15" ht="15.75">
      <c r="A140" s="28"/>
      <c r="B140" s="29" t="s">
        <v>98</v>
      </c>
      <c r="C140" s="29"/>
      <c r="D140" s="29"/>
      <c r="E140" s="29"/>
      <c r="F140" s="29"/>
      <c r="G140" s="29">
        <v>0</v>
      </c>
      <c r="H140" s="29"/>
      <c r="I140" s="29">
        <v>0</v>
      </c>
      <c r="J140" s="29"/>
      <c r="K140" s="29"/>
      <c r="L140" s="29"/>
      <c r="M140" s="66">
        <v>0</v>
      </c>
      <c r="N140" s="29"/>
      <c r="O140" s="6"/>
    </row>
    <row r="141" spans="1:15" ht="15.75">
      <c r="A141" s="28"/>
      <c r="B141" s="29" t="s">
        <v>99</v>
      </c>
      <c r="C141" s="29"/>
      <c r="D141" s="29"/>
      <c r="E141" s="29"/>
      <c r="F141" s="29"/>
      <c r="G141" s="29">
        <v>18</v>
      </c>
      <c r="H141" s="29"/>
      <c r="I141" s="29">
        <v>132</v>
      </c>
      <c r="J141" s="29"/>
      <c r="K141" s="29"/>
      <c r="L141" s="29"/>
      <c r="M141" s="66">
        <f>SUM(G141:I141)</f>
        <v>150</v>
      </c>
      <c r="N141" s="29"/>
      <c r="O141" s="6"/>
    </row>
    <row r="142" spans="1:15" ht="15.75">
      <c r="A142" s="28"/>
      <c r="B142" s="29" t="s">
        <v>100</v>
      </c>
      <c r="C142" s="29"/>
      <c r="D142" s="29"/>
      <c r="E142" s="29"/>
      <c r="F142" s="29"/>
      <c r="G142" s="29"/>
      <c r="H142" s="29"/>
      <c r="I142" s="86"/>
      <c r="J142" s="29"/>
      <c r="K142" s="29"/>
      <c r="L142" s="29"/>
      <c r="M142" s="66">
        <f>M97</f>
        <v>-150</v>
      </c>
      <c r="N142" s="29"/>
      <c r="O142" s="6"/>
    </row>
    <row r="143" spans="1:15" ht="15.75">
      <c r="A143" s="28"/>
      <c r="B143" s="29" t="s">
        <v>101</v>
      </c>
      <c r="C143" s="29"/>
      <c r="D143" s="29"/>
      <c r="E143" s="29"/>
      <c r="F143" s="29"/>
      <c r="G143" s="29"/>
      <c r="H143" s="29"/>
      <c r="I143" s="29"/>
      <c r="J143" s="29"/>
      <c r="K143" s="29"/>
      <c r="L143" s="29"/>
      <c r="M143" s="66">
        <f>M142+M141</f>
        <v>0</v>
      </c>
      <c r="N143" s="29"/>
      <c r="O143" s="6"/>
    </row>
    <row r="144" spans="1:15" ht="15.75">
      <c r="A144" s="28"/>
      <c r="B144" s="29"/>
      <c r="C144" s="29"/>
      <c r="D144" s="29"/>
      <c r="E144" s="29"/>
      <c r="F144" s="29"/>
      <c r="G144" s="29"/>
      <c r="H144" s="29"/>
      <c r="I144" s="29"/>
      <c r="J144" s="29"/>
      <c r="K144" s="29"/>
      <c r="L144" s="29"/>
      <c r="M144" s="82"/>
      <c r="N144" s="29"/>
      <c r="O144" s="6"/>
    </row>
    <row r="145" spans="1:15" ht="15.75">
      <c r="A145" s="7"/>
      <c r="B145" s="9"/>
      <c r="C145" s="9"/>
      <c r="D145" s="9"/>
      <c r="E145" s="9"/>
      <c r="F145" s="9"/>
      <c r="G145" s="9"/>
      <c r="H145" s="9"/>
      <c r="I145" s="9"/>
      <c r="J145" s="9"/>
      <c r="K145" s="9"/>
      <c r="L145" s="9"/>
      <c r="M145" s="64"/>
      <c r="N145" s="9"/>
      <c r="O145" s="6"/>
    </row>
    <row r="146" spans="1:15" ht="15.75">
      <c r="A146" s="7"/>
      <c r="B146" s="158" t="s">
        <v>102</v>
      </c>
      <c r="C146" s="15"/>
      <c r="D146" s="15"/>
      <c r="E146" s="9"/>
      <c r="F146" s="9"/>
      <c r="G146" s="9"/>
      <c r="H146" s="9"/>
      <c r="I146" s="9"/>
      <c r="J146" s="9"/>
      <c r="K146" s="9"/>
      <c r="L146" s="9"/>
      <c r="M146" s="64"/>
      <c r="N146" s="9"/>
      <c r="O146" s="6"/>
    </row>
    <row r="147" spans="1:15" ht="15.75">
      <c r="A147" s="28"/>
      <c r="B147" s="29" t="s">
        <v>103</v>
      </c>
      <c r="C147" s="87"/>
      <c r="D147" s="87"/>
      <c r="E147" s="29"/>
      <c r="F147" s="29"/>
      <c r="G147" s="29"/>
      <c r="H147" s="29"/>
      <c r="I147" s="29"/>
      <c r="J147" s="29"/>
      <c r="K147" s="29"/>
      <c r="L147" s="29"/>
      <c r="M147" s="66">
        <f>M68+M61</f>
        <v>143309</v>
      </c>
      <c r="N147" s="29"/>
      <c r="O147" s="6"/>
    </row>
    <row r="148" spans="1:15" ht="15.75">
      <c r="A148" s="28"/>
      <c r="B148" s="29" t="s">
        <v>104</v>
      </c>
      <c r="C148" s="87"/>
      <c r="D148" s="87"/>
      <c r="E148" s="29"/>
      <c r="F148" s="29"/>
      <c r="G148" s="29"/>
      <c r="H148" s="29"/>
      <c r="I148" s="29"/>
      <c r="J148" s="29"/>
      <c r="K148" s="29"/>
      <c r="L148" s="29"/>
      <c r="M148" s="66">
        <f>M72</f>
        <v>51634</v>
      </c>
      <c r="N148" s="29"/>
      <c r="O148" s="6"/>
    </row>
    <row r="149" spans="1:15" ht="15.75">
      <c r="A149" s="28"/>
      <c r="B149" s="29" t="s">
        <v>50</v>
      </c>
      <c r="C149" s="87"/>
      <c r="D149" s="87"/>
      <c r="E149" s="29"/>
      <c r="F149" s="29"/>
      <c r="G149" s="29"/>
      <c r="H149" s="29"/>
      <c r="I149" s="29"/>
      <c r="J149" s="29"/>
      <c r="K149" s="29"/>
      <c r="L149" s="29"/>
      <c r="M149" s="66">
        <f>M71</f>
        <v>25</v>
      </c>
      <c r="N149" s="29"/>
      <c r="O149" s="6"/>
    </row>
    <row r="150" spans="1:15" ht="15.75">
      <c r="A150" s="28"/>
      <c r="B150" s="29" t="s">
        <v>105</v>
      </c>
      <c r="C150" s="87"/>
      <c r="D150" s="87"/>
      <c r="E150" s="29"/>
      <c r="F150" s="29"/>
      <c r="G150" s="29"/>
      <c r="H150" s="29"/>
      <c r="I150" s="29"/>
      <c r="J150" s="29"/>
      <c r="K150" s="29"/>
      <c r="L150" s="29"/>
      <c r="M150" s="66">
        <f>M74</f>
        <v>-95</v>
      </c>
      <c r="N150" s="29"/>
      <c r="O150" s="6"/>
    </row>
    <row r="151" spans="1:15" ht="15.75">
      <c r="A151" s="28"/>
      <c r="B151" s="29" t="s">
        <v>106</v>
      </c>
      <c r="C151" s="87"/>
      <c r="D151" s="87"/>
      <c r="E151" s="29"/>
      <c r="F151" s="29"/>
      <c r="G151" s="29"/>
      <c r="H151" s="29"/>
      <c r="I151" s="29"/>
      <c r="J151" s="29"/>
      <c r="K151" s="29"/>
      <c r="L151" s="29"/>
      <c r="M151" s="66">
        <f>M73</f>
        <v>150</v>
      </c>
      <c r="N151" s="29"/>
      <c r="O151" s="6"/>
    </row>
    <row r="152" spans="1:15" ht="15.75">
      <c r="A152" s="28"/>
      <c r="B152" s="29" t="s">
        <v>107</v>
      </c>
      <c r="C152" s="87"/>
      <c r="D152" s="87"/>
      <c r="E152" s="29"/>
      <c r="F152" s="29"/>
      <c r="G152" s="29"/>
      <c r="H152" s="29"/>
      <c r="I152" s="29"/>
      <c r="J152" s="29"/>
      <c r="K152" s="29"/>
      <c r="L152" s="29"/>
      <c r="M152" s="66">
        <f>SUM(M147:M151)</f>
        <v>195023</v>
      </c>
      <c r="N152" s="29"/>
      <c r="O152" s="6"/>
    </row>
    <row r="153" spans="1:15" ht="15.75">
      <c r="A153" s="28"/>
      <c r="B153" s="29" t="s">
        <v>108</v>
      </c>
      <c r="C153" s="87"/>
      <c r="D153" s="87"/>
      <c r="E153" s="29"/>
      <c r="F153" s="29"/>
      <c r="G153" s="29"/>
      <c r="H153" s="29"/>
      <c r="I153" s="29"/>
      <c r="J153" s="29"/>
      <c r="K153" s="29"/>
      <c r="L153" s="29"/>
      <c r="M153" s="66">
        <f>M30</f>
        <v>194998</v>
      </c>
      <c r="N153" s="29"/>
      <c r="O153" s="6"/>
    </row>
    <row r="154" spans="1:15" ht="15.75">
      <c r="A154" s="28"/>
      <c r="B154" s="29"/>
      <c r="C154" s="29"/>
      <c r="D154" s="29"/>
      <c r="E154" s="29"/>
      <c r="F154" s="29"/>
      <c r="G154" s="29"/>
      <c r="H154" s="29"/>
      <c r="I154" s="29"/>
      <c r="J154" s="29"/>
      <c r="K154" s="29"/>
      <c r="L154" s="29"/>
      <c r="M154" s="82"/>
      <c r="N154" s="29"/>
      <c r="O154" s="6"/>
    </row>
    <row r="155" spans="1:15" ht="15.75">
      <c r="A155" s="7"/>
      <c r="B155" s="9"/>
      <c r="C155" s="9"/>
      <c r="D155" s="9"/>
      <c r="E155" s="9"/>
      <c r="F155" s="9"/>
      <c r="G155" s="9"/>
      <c r="H155" s="9"/>
      <c r="I155" s="25"/>
      <c r="J155" s="9"/>
      <c r="K155" s="25"/>
      <c r="L155" s="9"/>
      <c r="M155" s="64"/>
      <c r="N155" s="9"/>
      <c r="O155" s="6"/>
    </row>
    <row r="156" spans="1:15" ht="15.75">
      <c r="A156" s="7"/>
      <c r="B156" s="158" t="s">
        <v>109</v>
      </c>
      <c r="C156" s="144"/>
      <c r="D156" s="144"/>
      <c r="E156" s="144"/>
      <c r="F156" s="144"/>
      <c r="G156" s="144"/>
      <c r="H156" s="144"/>
      <c r="I156" s="159" t="s">
        <v>205</v>
      </c>
      <c r="J156" s="159"/>
      <c r="K156" s="159" t="s">
        <v>210</v>
      </c>
      <c r="L156" s="144"/>
      <c r="M156" s="160" t="s">
        <v>192</v>
      </c>
      <c r="N156" s="161"/>
      <c r="O156" s="6"/>
    </row>
    <row r="157" spans="1:15" ht="15.75">
      <c r="A157" s="28"/>
      <c r="B157" s="29" t="s">
        <v>110</v>
      </c>
      <c r="C157" s="29"/>
      <c r="D157" s="29"/>
      <c r="E157" s="29"/>
      <c r="F157" s="29"/>
      <c r="G157" s="29"/>
      <c r="H157" s="29"/>
      <c r="I157" s="66"/>
      <c r="J157" s="29"/>
      <c r="K157" s="53"/>
      <c r="L157" s="29"/>
      <c r="M157" s="66"/>
      <c r="N157" s="29"/>
      <c r="O157" s="6"/>
    </row>
    <row r="158" spans="1:15" ht="15.75">
      <c r="A158" s="28"/>
      <c r="B158" s="29" t="s">
        <v>111</v>
      </c>
      <c r="C158" s="29"/>
      <c r="D158" s="29"/>
      <c r="E158" s="29"/>
      <c r="F158" s="29"/>
      <c r="G158" s="29"/>
      <c r="H158" s="29"/>
      <c r="I158" s="66"/>
      <c r="J158" s="29"/>
      <c r="K158" s="29"/>
      <c r="L158" s="29"/>
      <c r="M158" s="66" t="s">
        <v>224</v>
      </c>
      <c r="N158" s="29"/>
      <c r="O158" s="6"/>
    </row>
    <row r="159" spans="1:15" ht="15.75">
      <c r="A159" s="28"/>
      <c r="B159" s="29" t="s">
        <v>112</v>
      </c>
      <c r="C159" s="29"/>
      <c r="D159" s="29"/>
      <c r="E159" s="29"/>
      <c r="F159" s="29"/>
      <c r="G159" s="29"/>
      <c r="H159" s="29"/>
      <c r="I159" s="66"/>
      <c r="J159" s="29"/>
      <c r="K159" s="29"/>
      <c r="L159" s="29"/>
      <c r="M159" s="66" t="s">
        <v>224</v>
      </c>
      <c r="N159" s="29"/>
      <c r="O159" s="6"/>
    </row>
    <row r="160" spans="1:15" ht="15.75">
      <c r="A160" s="28"/>
      <c r="B160" s="29" t="s">
        <v>113</v>
      </c>
      <c r="C160" s="29"/>
      <c r="D160" s="29"/>
      <c r="E160" s="29"/>
      <c r="F160" s="29"/>
      <c r="G160" s="29"/>
      <c r="H160" s="29"/>
      <c r="I160" s="66"/>
      <c r="J160" s="29"/>
      <c r="K160" s="66"/>
      <c r="L160" s="29"/>
      <c r="M160" s="66" t="s">
        <v>224</v>
      </c>
      <c r="N160" s="29"/>
      <c r="O160" s="6"/>
    </row>
    <row r="161" spans="1:15" ht="15.75">
      <c r="A161" s="28"/>
      <c r="B161" s="29" t="s">
        <v>114</v>
      </c>
      <c r="C161" s="29"/>
      <c r="D161" s="29"/>
      <c r="E161" s="29"/>
      <c r="F161" s="29"/>
      <c r="G161" s="29"/>
      <c r="H161" s="29"/>
      <c r="I161" s="66"/>
      <c r="J161" s="29"/>
      <c r="K161" s="53"/>
      <c r="L161" s="29"/>
      <c r="M161" s="66"/>
      <c r="N161" s="29"/>
      <c r="O161" s="6"/>
    </row>
    <row r="162" spans="1:15" ht="15.75">
      <c r="A162" s="28"/>
      <c r="B162" s="29"/>
      <c r="C162" s="29"/>
      <c r="D162" s="29"/>
      <c r="E162" s="29"/>
      <c r="F162" s="29"/>
      <c r="G162" s="29"/>
      <c r="H162" s="29"/>
      <c r="I162" s="29"/>
      <c r="J162" s="29"/>
      <c r="K162" s="29"/>
      <c r="L162" s="29"/>
      <c r="M162" s="82"/>
      <c r="N162" s="29"/>
      <c r="O162" s="6"/>
    </row>
    <row r="163" spans="1:15" ht="15.75">
      <c r="A163" s="7"/>
      <c r="B163" s="9"/>
      <c r="C163" s="9"/>
      <c r="D163" s="9"/>
      <c r="E163" s="9"/>
      <c r="F163" s="9"/>
      <c r="G163" s="9"/>
      <c r="H163" s="9"/>
      <c r="I163" s="9"/>
      <c r="J163" s="9"/>
      <c r="K163" s="9"/>
      <c r="L163" s="9"/>
      <c r="M163" s="64"/>
      <c r="N163" s="9"/>
      <c r="O163" s="6"/>
    </row>
    <row r="164" spans="1:15" ht="15.75">
      <c r="A164" s="7"/>
      <c r="B164" s="158" t="s">
        <v>115</v>
      </c>
      <c r="C164" s="15"/>
      <c r="D164" s="15"/>
      <c r="E164" s="9"/>
      <c r="F164" s="9"/>
      <c r="G164" s="9"/>
      <c r="H164" s="9"/>
      <c r="I164" s="9"/>
      <c r="J164" s="9"/>
      <c r="K164" s="9"/>
      <c r="L164" s="9"/>
      <c r="M164" s="88"/>
      <c r="N164" s="9"/>
      <c r="O164" s="6"/>
    </row>
    <row r="165" spans="1:15" ht="15.75">
      <c r="A165" s="28"/>
      <c r="B165" s="29" t="s">
        <v>116</v>
      </c>
      <c r="C165" s="29"/>
      <c r="D165" s="29"/>
      <c r="E165" s="29"/>
      <c r="F165" s="29"/>
      <c r="G165" s="29"/>
      <c r="H165" s="29"/>
      <c r="I165" s="29"/>
      <c r="J165" s="29"/>
      <c r="K165" s="29"/>
      <c r="L165" s="29"/>
      <c r="M165" s="73">
        <f>(M88+M90+M91)/-M92</f>
        <v>1.2466960352422907</v>
      </c>
      <c r="N165" s="29" t="s">
        <v>225</v>
      </c>
      <c r="O165" s="6"/>
    </row>
    <row r="166" spans="1:15" ht="15.75">
      <c r="A166" s="28"/>
      <c r="B166" s="29" t="s">
        <v>117</v>
      </c>
      <c r="C166" s="29"/>
      <c r="D166" s="29"/>
      <c r="E166" s="29"/>
      <c r="F166" s="29"/>
      <c r="G166" s="29"/>
      <c r="H166" s="29"/>
      <c r="I166" s="29"/>
      <c r="J166" s="29"/>
      <c r="K166" s="29"/>
      <c r="L166" s="29"/>
      <c r="M166" s="89">
        <v>1.25</v>
      </c>
      <c r="N166" s="29" t="s">
        <v>225</v>
      </c>
      <c r="O166" s="6"/>
    </row>
    <row r="167" spans="1:15" ht="15.75">
      <c r="A167" s="28"/>
      <c r="B167" s="29" t="s">
        <v>118</v>
      </c>
      <c r="C167" s="29"/>
      <c r="D167" s="29"/>
      <c r="E167" s="29"/>
      <c r="F167" s="29"/>
      <c r="G167" s="29"/>
      <c r="H167" s="29"/>
      <c r="I167" s="29"/>
      <c r="J167" s="29"/>
      <c r="K167" s="29"/>
      <c r="L167" s="29"/>
      <c r="M167" s="73">
        <f>(M88+M90+M91+M92+M93)/-M94</f>
        <v>2.3396946564885495</v>
      </c>
      <c r="N167" s="29" t="s">
        <v>225</v>
      </c>
      <c r="O167" s="6"/>
    </row>
    <row r="168" spans="1:15" ht="15.75">
      <c r="A168" s="28"/>
      <c r="B168" s="29" t="s">
        <v>119</v>
      </c>
      <c r="C168" s="29"/>
      <c r="D168" s="29"/>
      <c r="E168" s="29"/>
      <c r="F168" s="29"/>
      <c r="G168" s="29"/>
      <c r="H168" s="29"/>
      <c r="I168" s="29"/>
      <c r="J168" s="29"/>
      <c r="K168" s="29"/>
      <c r="L168" s="29"/>
      <c r="M168" s="90">
        <v>2.34</v>
      </c>
      <c r="N168" s="29" t="s">
        <v>225</v>
      </c>
      <c r="O168" s="6"/>
    </row>
    <row r="169" spans="1:15" ht="15.75">
      <c r="A169" s="28"/>
      <c r="B169" s="29" t="s">
        <v>120</v>
      </c>
      <c r="C169" s="29"/>
      <c r="D169" s="29"/>
      <c r="E169" s="29"/>
      <c r="F169" s="29"/>
      <c r="G169" s="29"/>
      <c r="H169" s="29"/>
      <c r="I169" s="29"/>
      <c r="J169" s="29"/>
      <c r="K169" s="29"/>
      <c r="L169" s="29"/>
      <c r="M169" s="73">
        <f>(M88+M90+M91+M92+M93+M94)/-M95</f>
        <v>1.9943181818181819</v>
      </c>
      <c r="N169" s="29" t="s">
        <v>225</v>
      </c>
      <c r="O169" s="6"/>
    </row>
    <row r="170" spans="1:15" ht="15.75">
      <c r="A170" s="28"/>
      <c r="B170" s="29" t="s">
        <v>121</v>
      </c>
      <c r="C170" s="29"/>
      <c r="D170" s="29"/>
      <c r="E170" s="29"/>
      <c r="F170" s="29"/>
      <c r="G170" s="29"/>
      <c r="H170" s="29"/>
      <c r="I170" s="29"/>
      <c r="J170" s="29"/>
      <c r="K170" s="29"/>
      <c r="L170" s="29"/>
      <c r="M170" s="89">
        <v>1.99</v>
      </c>
      <c r="N170" s="29" t="s">
        <v>225</v>
      </c>
      <c r="O170" s="6"/>
    </row>
    <row r="171" spans="1:15" ht="15.75">
      <c r="A171" s="28"/>
      <c r="B171" s="29"/>
      <c r="C171" s="29"/>
      <c r="D171" s="29"/>
      <c r="E171" s="29"/>
      <c r="F171" s="29"/>
      <c r="G171" s="29"/>
      <c r="H171" s="29"/>
      <c r="I171" s="29"/>
      <c r="J171" s="29"/>
      <c r="K171" s="29"/>
      <c r="L171" s="29"/>
      <c r="M171" s="29"/>
      <c r="N171" s="29"/>
      <c r="O171" s="6"/>
    </row>
    <row r="172" spans="1:15" ht="15.75">
      <c r="A172" s="28"/>
      <c r="B172" s="29"/>
      <c r="C172" s="29"/>
      <c r="D172" s="29"/>
      <c r="E172" s="29"/>
      <c r="F172" s="29"/>
      <c r="G172" s="29"/>
      <c r="H172" s="29"/>
      <c r="I172" s="29"/>
      <c r="J172" s="29"/>
      <c r="K172" s="29"/>
      <c r="L172" s="29"/>
      <c r="M172" s="29"/>
      <c r="N172" s="29"/>
      <c r="O172" s="6"/>
    </row>
    <row r="173" spans="1:15" ht="15.75">
      <c r="A173" s="7"/>
      <c r="B173" s="9"/>
      <c r="C173" s="9"/>
      <c r="D173" s="9"/>
      <c r="E173" s="9"/>
      <c r="F173" s="9"/>
      <c r="G173" s="9"/>
      <c r="H173" s="9"/>
      <c r="I173" s="9"/>
      <c r="J173" s="9"/>
      <c r="K173" s="9"/>
      <c r="L173" s="9"/>
      <c r="M173" s="9"/>
      <c r="N173" s="9"/>
      <c r="O173" s="6"/>
    </row>
    <row r="174" spans="1:15" ht="16.5" thickBot="1">
      <c r="A174" s="134"/>
      <c r="B174" s="135" t="s">
        <v>38</v>
      </c>
      <c r="C174" s="136"/>
      <c r="D174" s="136"/>
      <c r="E174" s="136"/>
      <c r="F174" s="136"/>
      <c r="G174" s="136"/>
      <c r="H174" s="136"/>
      <c r="I174" s="136"/>
      <c r="J174" s="136"/>
      <c r="K174" s="136"/>
      <c r="L174" s="136"/>
      <c r="M174" s="136"/>
      <c r="N174" s="138"/>
      <c r="O174" s="6"/>
    </row>
    <row r="175" spans="1:15" ht="15.75">
      <c r="A175" s="2"/>
      <c r="B175" s="91"/>
      <c r="C175" s="91"/>
      <c r="D175" s="91"/>
      <c r="E175" s="91"/>
      <c r="F175" s="91"/>
      <c r="G175" s="91"/>
      <c r="H175" s="91"/>
      <c r="I175" s="91"/>
      <c r="J175" s="91"/>
      <c r="K175" s="91"/>
      <c r="L175" s="91"/>
      <c r="M175" s="91"/>
      <c r="N175" s="91"/>
      <c r="O175" s="6"/>
    </row>
    <row r="176" spans="1:15" ht="15.75">
      <c r="A176" s="92"/>
      <c r="B176" s="63" t="s">
        <v>122</v>
      </c>
      <c r="C176" s="93"/>
      <c r="D176" s="93"/>
      <c r="E176" s="93" t="s">
        <v>178</v>
      </c>
      <c r="F176" s="93"/>
      <c r="G176" s="94" t="s">
        <v>181</v>
      </c>
      <c r="H176" s="94"/>
      <c r="I176" s="94"/>
      <c r="J176" s="22"/>
      <c r="K176" s="22">
        <v>36922</v>
      </c>
      <c r="L176" s="18"/>
      <c r="M176" s="18"/>
      <c r="N176" s="9"/>
      <c r="O176" s="6"/>
    </row>
    <row r="177" spans="1:15" ht="15.75">
      <c r="A177" s="95"/>
      <c r="B177" s="74" t="s">
        <v>123</v>
      </c>
      <c r="C177" s="96"/>
      <c r="D177" s="96"/>
      <c r="E177" s="97">
        <v>0.12505</v>
      </c>
      <c r="F177" s="96"/>
      <c r="G177" s="97">
        <v>0.13752</v>
      </c>
      <c r="H177" s="86"/>
      <c r="I177" s="86"/>
      <c r="J177" s="86"/>
      <c r="K177" s="97">
        <v>0.13157</v>
      </c>
      <c r="L177" s="29"/>
      <c r="M177" s="29"/>
      <c r="N177" s="29"/>
      <c r="O177" s="6"/>
    </row>
    <row r="178" spans="1:15" ht="15.75">
      <c r="A178" s="95"/>
      <c r="B178" s="74" t="s">
        <v>124</v>
      </c>
      <c r="C178" s="96"/>
      <c r="D178" s="96"/>
      <c r="E178" s="97"/>
      <c r="F178" s="96"/>
      <c r="G178" s="97"/>
      <c r="H178" s="86"/>
      <c r="I178" s="86"/>
      <c r="J178" s="86"/>
      <c r="K178" s="97">
        <v>0.0654</v>
      </c>
      <c r="L178" s="97"/>
      <c r="M178" s="29"/>
      <c r="N178" s="29"/>
      <c r="O178" s="6"/>
    </row>
    <row r="179" spans="1:15" ht="15.75">
      <c r="A179" s="95"/>
      <c r="B179" s="74" t="s">
        <v>125</v>
      </c>
      <c r="C179" s="96"/>
      <c r="D179" s="96"/>
      <c r="E179" s="96"/>
      <c r="F179" s="96"/>
      <c r="G179" s="96"/>
      <c r="H179" s="86"/>
      <c r="I179" s="86"/>
      <c r="J179" s="86"/>
      <c r="K179" s="97">
        <f>K177-K178</f>
        <v>0.06616999999999999</v>
      </c>
      <c r="L179" s="29"/>
      <c r="M179" s="29"/>
      <c r="N179" s="29"/>
      <c r="O179" s="6"/>
    </row>
    <row r="180" spans="1:15" ht="15.75">
      <c r="A180" s="95"/>
      <c r="B180" s="74" t="s">
        <v>126</v>
      </c>
      <c r="C180" s="96"/>
      <c r="D180" s="96"/>
      <c r="E180" s="98">
        <v>0.12505</v>
      </c>
      <c r="F180" s="98"/>
      <c r="G180" s="98">
        <v>0.13724</v>
      </c>
      <c r="H180" s="86"/>
      <c r="I180" s="86"/>
      <c r="J180" s="86"/>
      <c r="K180" s="97">
        <v>0.13137</v>
      </c>
      <c r="L180" s="29"/>
      <c r="M180" s="29"/>
      <c r="N180" s="29"/>
      <c r="O180" s="6"/>
    </row>
    <row r="181" spans="1:15" ht="15.75">
      <c r="A181" s="95"/>
      <c r="B181" s="74" t="s">
        <v>127</v>
      </c>
      <c r="C181" s="96"/>
      <c r="D181" s="96"/>
      <c r="E181" s="96"/>
      <c r="F181" s="96"/>
      <c r="G181" s="96"/>
      <c r="H181" s="86"/>
      <c r="I181" s="86"/>
      <c r="J181" s="86"/>
      <c r="K181" s="97">
        <f>M32</f>
        <v>0.06541096998841013</v>
      </c>
      <c r="L181" s="29"/>
      <c r="M181" s="29"/>
      <c r="N181" s="29"/>
      <c r="O181" s="6"/>
    </row>
    <row r="182" spans="1:15" ht="15.75">
      <c r="A182" s="95"/>
      <c r="B182" s="74" t="s">
        <v>128</v>
      </c>
      <c r="C182" s="96"/>
      <c r="D182" s="96"/>
      <c r="E182" s="96"/>
      <c r="F182" s="96"/>
      <c r="G182" s="96"/>
      <c r="H182" s="86"/>
      <c r="I182" s="86"/>
      <c r="J182" s="86"/>
      <c r="K182" s="97">
        <f>K180-K181</f>
        <v>0.06595903001158986</v>
      </c>
      <c r="L182" s="29"/>
      <c r="M182" s="29"/>
      <c r="N182" s="29"/>
      <c r="O182" s="6"/>
    </row>
    <row r="183" spans="1:15" ht="15.75">
      <c r="A183" s="95"/>
      <c r="B183" s="74" t="s">
        <v>129</v>
      </c>
      <c r="C183" s="96"/>
      <c r="D183" s="96"/>
      <c r="E183" s="96"/>
      <c r="F183" s="96"/>
      <c r="G183" s="96"/>
      <c r="H183" s="86"/>
      <c r="I183" s="86"/>
      <c r="J183" s="86"/>
      <c r="K183" s="97" t="s">
        <v>211</v>
      </c>
      <c r="L183" s="29"/>
      <c r="M183" s="29"/>
      <c r="N183" s="29"/>
      <c r="O183" s="6"/>
    </row>
    <row r="184" spans="1:15" ht="15.75">
      <c r="A184" s="95"/>
      <c r="B184" s="74" t="s">
        <v>130</v>
      </c>
      <c r="C184" s="96"/>
      <c r="D184" s="96"/>
      <c r="E184" s="96"/>
      <c r="F184" s="96"/>
      <c r="G184" s="96"/>
      <c r="H184" s="86"/>
      <c r="I184" s="86"/>
      <c r="J184" s="86"/>
      <c r="K184" s="97" t="s">
        <v>212</v>
      </c>
      <c r="L184" s="29"/>
      <c r="M184" s="29"/>
      <c r="N184" s="29"/>
      <c r="O184" s="6"/>
    </row>
    <row r="185" spans="1:15" ht="15.75">
      <c r="A185" s="95"/>
      <c r="B185" s="74" t="s">
        <v>131</v>
      </c>
      <c r="C185" s="96"/>
      <c r="D185" s="96"/>
      <c r="E185" s="99">
        <v>9.94</v>
      </c>
      <c r="F185" s="96"/>
      <c r="G185" s="99">
        <v>3.91</v>
      </c>
      <c r="H185" s="86"/>
      <c r="I185" s="86"/>
      <c r="J185" s="86"/>
      <c r="K185" s="100">
        <v>6.791</v>
      </c>
      <c r="L185" s="29"/>
      <c r="M185" s="29"/>
      <c r="N185" s="29"/>
      <c r="O185" s="6"/>
    </row>
    <row r="186" spans="1:15" ht="15.75">
      <c r="A186" s="95"/>
      <c r="B186" s="74" t="s">
        <v>132</v>
      </c>
      <c r="C186" s="96"/>
      <c r="D186" s="96"/>
      <c r="E186" s="101">
        <v>9.822</v>
      </c>
      <c r="F186" s="99"/>
      <c r="G186" s="99">
        <v>3.74</v>
      </c>
      <c r="H186" s="86"/>
      <c r="I186" s="86"/>
      <c r="J186" s="86"/>
      <c r="K186" s="100">
        <v>6.668</v>
      </c>
      <c r="L186" s="29"/>
      <c r="M186" s="29"/>
      <c r="N186" s="29"/>
      <c r="O186" s="6"/>
    </row>
    <row r="187" spans="1:15" ht="15.75">
      <c r="A187" s="95"/>
      <c r="B187" s="74" t="s">
        <v>133</v>
      </c>
      <c r="C187" s="96"/>
      <c r="D187" s="96"/>
      <c r="E187" s="96"/>
      <c r="F187" s="96"/>
      <c r="G187" s="96"/>
      <c r="H187" s="86"/>
      <c r="I187" s="86"/>
      <c r="J187" s="86"/>
      <c r="K187" s="97">
        <f>G88/SUM(C61:C66)</f>
        <v>0.06926395692088104</v>
      </c>
      <c r="L187" s="29"/>
      <c r="M187" s="29"/>
      <c r="N187" s="29"/>
      <c r="O187" s="6"/>
    </row>
    <row r="188" spans="1:15" ht="15.75">
      <c r="A188" s="95"/>
      <c r="B188" s="74"/>
      <c r="C188" s="74"/>
      <c r="D188" s="74"/>
      <c r="E188" s="74"/>
      <c r="F188" s="74"/>
      <c r="G188" s="74"/>
      <c r="H188" s="29"/>
      <c r="I188" s="29"/>
      <c r="J188" s="37"/>
      <c r="K188" s="102"/>
      <c r="L188" s="29"/>
      <c r="M188" s="103"/>
      <c r="N188" s="29"/>
      <c r="O188" s="6"/>
    </row>
    <row r="189" spans="1:15" ht="15.75">
      <c r="A189" s="104"/>
      <c r="B189" s="17" t="s">
        <v>134</v>
      </c>
      <c r="C189" s="20"/>
      <c r="D189" s="20"/>
      <c r="E189" s="105"/>
      <c r="F189" s="20"/>
      <c r="G189" s="105"/>
      <c r="H189" s="20"/>
      <c r="I189" s="105"/>
      <c r="J189" s="20" t="s">
        <v>206</v>
      </c>
      <c r="K189" s="105" t="s">
        <v>213</v>
      </c>
      <c r="L189" s="18"/>
      <c r="M189" s="18"/>
      <c r="N189" s="9"/>
      <c r="O189" s="6"/>
    </row>
    <row r="190" spans="1:15" ht="15.75">
      <c r="A190" s="106"/>
      <c r="B190" s="74" t="s">
        <v>135</v>
      </c>
      <c r="C190" s="67"/>
      <c r="D190" s="67"/>
      <c r="E190" s="67"/>
      <c r="F190" s="67"/>
      <c r="G190" s="29"/>
      <c r="H190" s="29"/>
      <c r="I190" s="29"/>
      <c r="J190" s="29">
        <v>36</v>
      </c>
      <c r="K190" s="66">
        <v>281</v>
      </c>
      <c r="L190" s="66"/>
      <c r="M190" s="103"/>
      <c r="N190" s="107"/>
      <c r="O190" s="6"/>
    </row>
    <row r="191" spans="1:15" ht="15.75">
      <c r="A191" s="106"/>
      <c r="B191" s="74" t="s">
        <v>136</v>
      </c>
      <c r="C191" s="67"/>
      <c r="D191" s="67"/>
      <c r="E191" s="67"/>
      <c r="F191" s="67"/>
      <c r="G191" s="29"/>
      <c r="H191" s="29"/>
      <c r="I191" s="29"/>
      <c r="J191" s="29">
        <v>14</v>
      </c>
      <c r="K191" s="66">
        <v>98</v>
      </c>
      <c r="L191" s="66"/>
      <c r="M191" s="103"/>
      <c r="N191" s="107"/>
      <c r="O191" s="6"/>
    </row>
    <row r="192" spans="1:15" ht="15.75">
      <c r="A192" s="106"/>
      <c r="B192" s="74"/>
      <c r="C192" s="67"/>
      <c r="D192" s="67"/>
      <c r="E192" s="67"/>
      <c r="F192" s="67"/>
      <c r="G192" s="29"/>
      <c r="H192" s="29"/>
      <c r="I192" s="29"/>
      <c r="J192" s="29"/>
      <c r="K192" s="66"/>
      <c r="L192" s="66"/>
      <c r="M192" s="103"/>
      <c r="N192" s="107"/>
      <c r="O192" s="6"/>
    </row>
    <row r="193" spans="1:15" ht="15.75">
      <c r="A193" s="106"/>
      <c r="B193" s="74" t="s">
        <v>137</v>
      </c>
      <c r="C193" s="67"/>
      <c r="D193" s="67"/>
      <c r="E193" s="67"/>
      <c r="F193" s="67"/>
      <c r="G193" s="29"/>
      <c r="H193" s="29"/>
      <c r="I193" s="29"/>
      <c r="J193" s="29">
        <v>32</v>
      </c>
      <c r="K193" s="66">
        <v>445</v>
      </c>
      <c r="L193" s="66"/>
      <c r="M193" s="103"/>
      <c r="N193" s="107"/>
      <c r="O193" s="6"/>
    </row>
    <row r="194" spans="1:15" ht="15.75">
      <c r="A194" s="106"/>
      <c r="B194" s="74" t="s">
        <v>138</v>
      </c>
      <c r="C194" s="67"/>
      <c r="D194" s="67"/>
      <c r="E194" s="67"/>
      <c r="F194" s="67"/>
      <c r="G194" s="29"/>
      <c r="H194" s="29"/>
      <c r="I194" s="29"/>
      <c r="J194" s="29">
        <v>0</v>
      </c>
      <c r="K194" s="66">
        <v>0</v>
      </c>
      <c r="L194" s="66"/>
      <c r="M194" s="103"/>
      <c r="N194" s="107"/>
      <c r="O194" s="6"/>
    </row>
    <row r="195" spans="1:15" ht="15.75">
      <c r="A195" s="106"/>
      <c r="B195" s="74"/>
      <c r="C195" s="67"/>
      <c r="D195" s="67"/>
      <c r="E195" s="67"/>
      <c r="F195" s="67"/>
      <c r="G195" s="29"/>
      <c r="H195" s="29"/>
      <c r="I195" s="29"/>
      <c r="J195" s="29"/>
      <c r="K195" s="66"/>
      <c r="L195" s="66"/>
      <c r="M195" s="103"/>
      <c r="N195" s="107"/>
      <c r="O195" s="6"/>
    </row>
    <row r="196" spans="1:15" ht="15.75">
      <c r="A196" s="106"/>
      <c r="B196" s="162" t="s">
        <v>139</v>
      </c>
      <c r="C196" s="67"/>
      <c r="D196" s="67"/>
      <c r="E196" s="67"/>
      <c r="F196" s="67"/>
      <c r="G196" s="29"/>
      <c r="H196" s="29"/>
      <c r="I196" s="29"/>
      <c r="J196" s="29"/>
      <c r="K196" s="73" t="s">
        <v>214</v>
      </c>
      <c r="L196" s="29"/>
      <c r="M196" s="103"/>
      <c r="N196" s="107"/>
      <c r="O196" s="6"/>
    </row>
    <row r="197" spans="1:15" ht="15.75">
      <c r="A197" s="106"/>
      <c r="B197" s="162" t="s">
        <v>140</v>
      </c>
      <c r="C197" s="67"/>
      <c r="D197" s="67"/>
      <c r="E197" s="67"/>
      <c r="F197" s="67"/>
      <c r="G197" s="29"/>
      <c r="H197" s="29"/>
      <c r="I197" s="29"/>
      <c r="J197" s="29"/>
      <c r="K197" s="66">
        <f>I68</f>
        <v>0</v>
      </c>
      <c r="L197" s="29"/>
      <c r="M197" s="103"/>
      <c r="N197" s="107"/>
      <c r="O197" s="6"/>
    </row>
    <row r="198" spans="1:15" ht="15.75">
      <c r="A198" s="108"/>
      <c r="B198" s="162" t="s">
        <v>141</v>
      </c>
      <c r="C198" s="67"/>
      <c r="D198" s="67"/>
      <c r="E198" s="74"/>
      <c r="F198" s="74"/>
      <c r="G198" s="74"/>
      <c r="H198" s="29"/>
      <c r="I198" s="29"/>
      <c r="J198" s="29"/>
      <c r="K198" s="73"/>
      <c r="L198" s="29"/>
      <c r="M198" s="103"/>
      <c r="N198" s="109"/>
      <c r="O198" s="6"/>
    </row>
    <row r="199" spans="1:15" ht="15.75">
      <c r="A199" s="108"/>
      <c r="B199" s="74" t="s">
        <v>142</v>
      </c>
      <c r="C199" s="67"/>
      <c r="D199" s="67"/>
      <c r="E199" s="74"/>
      <c r="F199" s="74"/>
      <c r="G199" s="74"/>
      <c r="H199" s="29"/>
      <c r="I199" s="29"/>
      <c r="J199" s="29"/>
      <c r="K199" s="89">
        <v>132</v>
      </c>
      <c r="L199" s="29"/>
      <c r="M199" s="103"/>
      <c r="N199" s="109"/>
      <c r="O199" s="6"/>
    </row>
    <row r="200" spans="1:15" ht="15.75">
      <c r="A200" s="108"/>
      <c r="B200" s="74" t="s">
        <v>143</v>
      </c>
      <c r="C200" s="67"/>
      <c r="D200" s="67"/>
      <c r="E200" s="74"/>
      <c r="F200" s="74"/>
      <c r="G200" s="74"/>
      <c r="H200" s="29"/>
      <c r="I200" s="29"/>
      <c r="J200" s="29"/>
      <c r="K200" s="89">
        <v>132</v>
      </c>
      <c r="L200" s="29"/>
      <c r="M200" s="103"/>
      <c r="N200" s="109"/>
      <c r="O200" s="6"/>
    </row>
    <row r="201" spans="1:15" ht="15.75">
      <c r="A201" s="108"/>
      <c r="B201" s="74" t="s">
        <v>144</v>
      </c>
      <c r="C201" s="67"/>
      <c r="D201" s="67"/>
      <c r="E201" s="74"/>
      <c r="F201" s="74"/>
      <c r="G201" s="74"/>
      <c r="H201" s="29"/>
      <c r="I201" s="29"/>
      <c r="J201" s="29"/>
      <c r="K201" s="73"/>
      <c r="L201" s="29"/>
      <c r="M201" s="103"/>
      <c r="N201" s="109"/>
      <c r="O201" s="6"/>
    </row>
    <row r="202" spans="1:15" ht="15.75">
      <c r="A202" s="108"/>
      <c r="B202" s="74"/>
      <c r="C202" s="67"/>
      <c r="D202" s="67"/>
      <c r="E202" s="74"/>
      <c r="F202" s="74"/>
      <c r="G202" s="74"/>
      <c r="H202" s="29"/>
      <c r="I202" s="29"/>
      <c r="J202" s="29"/>
      <c r="K202" s="89"/>
      <c r="L202" s="29"/>
      <c r="M202" s="103"/>
      <c r="N202" s="109"/>
      <c r="O202" s="6"/>
    </row>
    <row r="203" spans="1:15" ht="15.75">
      <c r="A203" s="106"/>
      <c r="B203" s="74" t="s">
        <v>145</v>
      </c>
      <c r="C203" s="67"/>
      <c r="D203" s="67"/>
      <c r="E203" s="67"/>
      <c r="F203" s="67"/>
      <c r="G203" s="67"/>
      <c r="H203" s="29"/>
      <c r="I203" s="29"/>
      <c r="J203" s="29"/>
      <c r="K203" s="66">
        <v>18</v>
      </c>
      <c r="L203" s="29"/>
      <c r="M203" s="103"/>
      <c r="N203" s="109"/>
      <c r="O203" s="6"/>
    </row>
    <row r="204" spans="1:15" ht="15.75">
      <c r="A204" s="106"/>
      <c r="B204" s="74" t="s">
        <v>146</v>
      </c>
      <c r="C204" s="67"/>
      <c r="D204" s="67"/>
      <c r="E204" s="67"/>
      <c r="F204" s="67"/>
      <c r="G204" s="67"/>
      <c r="H204" s="29"/>
      <c r="I204" s="29"/>
      <c r="J204" s="29"/>
      <c r="K204" s="66">
        <v>18</v>
      </c>
      <c r="L204" s="29"/>
      <c r="M204" s="103"/>
      <c r="N204" s="109"/>
      <c r="O204" s="6"/>
    </row>
    <row r="205" spans="1:15" ht="15.75">
      <c r="A205" s="106"/>
      <c r="B205" s="74" t="s">
        <v>144</v>
      </c>
      <c r="C205" s="67"/>
      <c r="D205" s="67"/>
      <c r="E205" s="67"/>
      <c r="F205" s="67"/>
      <c r="G205" s="67"/>
      <c r="H205" s="29"/>
      <c r="I205" s="29"/>
      <c r="J205" s="29"/>
      <c r="K205" s="66"/>
      <c r="L205" s="29"/>
      <c r="M205" s="103"/>
      <c r="N205" s="109"/>
      <c r="O205" s="6"/>
    </row>
    <row r="206" spans="1:15" ht="15.75">
      <c r="A206" s="106"/>
      <c r="B206" s="74"/>
      <c r="C206" s="67"/>
      <c r="D206" s="67"/>
      <c r="E206" s="67"/>
      <c r="F206" s="67"/>
      <c r="G206" s="67"/>
      <c r="H206" s="29"/>
      <c r="I206" s="29"/>
      <c r="J206" s="29"/>
      <c r="K206" s="66"/>
      <c r="L206" s="29"/>
      <c r="M206" s="103"/>
      <c r="N206" s="109"/>
      <c r="O206" s="6"/>
    </row>
    <row r="207" spans="1:15" ht="15.75">
      <c r="A207" s="108"/>
      <c r="B207" s="162" t="s">
        <v>147</v>
      </c>
      <c r="C207" s="67"/>
      <c r="D207" s="67"/>
      <c r="E207" s="74"/>
      <c r="F207" s="74"/>
      <c r="G207" s="74"/>
      <c r="H207" s="29"/>
      <c r="I207" s="29"/>
      <c r="J207" s="29"/>
      <c r="K207" s="110"/>
      <c r="L207" s="29"/>
      <c r="M207" s="103"/>
      <c r="N207" s="109"/>
      <c r="O207" s="6"/>
    </row>
    <row r="208" spans="1:15" ht="15.75">
      <c r="A208" s="108"/>
      <c r="B208" s="74" t="s">
        <v>148</v>
      </c>
      <c r="C208" s="67"/>
      <c r="D208" s="67"/>
      <c r="E208" s="74"/>
      <c r="F208" s="74"/>
      <c r="G208" s="74"/>
      <c r="H208" s="29"/>
      <c r="I208" s="29"/>
      <c r="J208" s="29"/>
      <c r="K208" s="110">
        <v>0</v>
      </c>
      <c r="L208" s="29"/>
      <c r="M208" s="103"/>
      <c r="N208" s="109"/>
      <c r="O208" s="6"/>
    </row>
    <row r="209" spans="1:15" ht="15.75">
      <c r="A209" s="106"/>
      <c r="B209" s="74" t="s">
        <v>149</v>
      </c>
      <c r="C209" s="67"/>
      <c r="D209" s="67"/>
      <c r="E209" s="111"/>
      <c r="F209" s="111"/>
      <c r="G209" s="112"/>
      <c r="H209" s="29"/>
      <c r="I209" s="29"/>
      <c r="J209" s="29"/>
      <c r="K209" s="110">
        <v>0</v>
      </c>
      <c r="L209" s="29"/>
      <c r="M209" s="103"/>
      <c r="N209" s="109"/>
      <c r="O209" s="6"/>
    </row>
    <row r="210" spans="1:15" ht="15.75">
      <c r="A210" s="106"/>
      <c r="B210" s="74" t="s">
        <v>150</v>
      </c>
      <c r="C210" s="67"/>
      <c r="D210" s="67"/>
      <c r="E210" s="111"/>
      <c r="F210" s="111"/>
      <c r="G210" s="112"/>
      <c r="H210" s="29"/>
      <c r="I210" s="29"/>
      <c r="J210" s="29"/>
      <c r="K210" s="110">
        <v>0</v>
      </c>
      <c r="L210" s="29"/>
      <c r="M210" s="103"/>
      <c r="N210" s="109"/>
      <c r="O210" s="6"/>
    </row>
    <row r="211" spans="1:15" ht="15.75">
      <c r="A211" s="106"/>
      <c r="B211" s="74" t="s">
        <v>151</v>
      </c>
      <c r="C211" s="67"/>
      <c r="D211" s="67"/>
      <c r="E211" s="113"/>
      <c r="F211" s="111"/>
      <c r="G211" s="112"/>
      <c r="H211" s="29"/>
      <c r="I211" s="29"/>
      <c r="J211" s="29"/>
      <c r="K211" s="110">
        <v>0</v>
      </c>
      <c r="L211" s="29"/>
      <c r="M211" s="103"/>
      <c r="N211" s="109"/>
      <c r="O211" s="6"/>
    </row>
    <row r="212" spans="1:15" ht="15.75">
      <c r="A212" s="106"/>
      <c r="B212" s="74"/>
      <c r="C212" s="67"/>
      <c r="D212" s="67"/>
      <c r="E212" s="113"/>
      <c r="F212" s="111"/>
      <c r="G212" s="112"/>
      <c r="H212" s="29"/>
      <c r="I212" s="37"/>
      <c r="J212" s="37"/>
      <c r="K212" s="114"/>
      <c r="L212" s="37"/>
      <c r="M212" s="103"/>
      <c r="N212" s="109"/>
      <c r="O212" s="6"/>
    </row>
    <row r="213" spans="1:15" ht="15.75">
      <c r="A213" s="106"/>
      <c r="B213" s="162" t="s">
        <v>152</v>
      </c>
      <c r="C213" s="67"/>
      <c r="D213" s="67"/>
      <c r="E213" s="113"/>
      <c r="F213" s="111"/>
      <c r="G213" s="112"/>
      <c r="H213" s="29"/>
      <c r="I213" s="37"/>
      <c r="J213" s="37"/>
      <c r="K213" s="114"/>
      <c r="L213" s="37"/>
      <c r="M213" s="103"/>
      <c r="N213" s="109"/>
      <c r="O213" s="6"/>
    </row>
    <row r="214" spans="1:15" ht="15.75">
      <c r="A214" s="106"/>
      <c r="B214" s="74" t="s">
        <v>153</v>
      </c>
      <c r="C214" s="67"/>
      <c r="D214" s="67"/>
      <c r="E214" s="113"/>
      <c r="F214" s="111"/>
      <c r="G214" s="112"/>
      <c r="H214" s="29"/>
      <c r="I214" s="37"/>
      <c r="J214" s="37"/>
      <c r="K214" s="115">
        <v>26</v>
      </c>
      <c r="L214" s="37"/>
      <c r="M214" s="103"/>
      <c r="N214" s="109"/>
      <c r="O214" s="6"/>
    </row>
    <row r="215" spans="1:15" ht="15.75">
      <c r="A215" s="106"/>
      <c r="B215" s="74" t="s">
        <v>149</v>
      </c>
      <c r="C215" s="67"/>
      <c r="D215" s="67"/>
      <c r="E215" s="113"/>
      <c r="F215" s="111"/>
      <c r="G215" s="112"/>
      <c r="H215" s="29"/>
      <c r="I215" s="37"/>
      <c r="J215" s="37"/>
      <c r="K215" s="115">
        <v>3</v>
      </c>
      <c r="L215" s="37"/>
      <c r="M215" s="103"/>
      <c r="N215" s="109"/>
      <c r="O215" s="6"/>
    </row>
    <row r="216" spans="1:15" ht="15.75">
      <c r="A216" s="106"/>
      <c r="B216" s="74" t="s">
        <v>154</v>
      </c>
      <c r="C216" s="67"/>
      <c r="D216" s="67"/>
      <c r="E216" s="113"/>
      <c r="F216" s="111"/>
      <c r="G216" s="112"/>
      <c r="H216" s="29"/>
      <c r="I216" s="37"/>
      <c r="J216" s="37"/>
      <c r="K216" s="115">
        <v>10</v>
      </c>
      <c r="L216" s="37"/>
      <c r="M216" s="103"/>
      <c r="N216" s="109"/>
      <c r="O216" s="6"/>
    </row>
    <row r="217" spans="1:15" ht="15.75">
      <c r="A217" s="106"/>
      <c r="B217" s="74"/>
      <c r="C217" s="67"/>
      <c r="D217" s="67"/>
      <c r="E217" s="113"/>
      <c r="F217" s="111"/>
      <c r="G217" s="112"/>
      <c r="H217" s="29"/>
      <c r="I217" s="37"/>
      <c r="J217" s="37"/>
      <c r="K217" s="114"/>
      <c r="L217" s="37"/>
      <c r="M217" s="103"/>
      <c r="N217" s="109"/>
      <c r="O217" s="6"/>
    </row>
    <row r="218" spans="1:15" ht="15.75">
      <c r="A218" s="163"/>
      <c r="B218" s="32" t="s">
        <v>155</v>
      </c>
      <c r="C218" s="164"/>
      <c r="D218" s="164"/>
      <c r="E218" s="165"/>
      <c r="F218" s="164"/>
      <c r="G218" s="165"/>
      <c r="H218" s="164"/>
      <c r="I218" s="165" t="s">
        <v>206</v>
      </c>
      <c r="J218" s="164" t="s">
        <v>208</v>
      </c>
      <c r="K218" s="165" t="s">
        <v>215</v>
      </c>
      <c r="L218" s="164" t="s">
        <v>208</v>
      </c>
      <c r="M218" s="166"/>
      <c r="N218" s="167"/>
      <c r="O218" s="6"/>
    </row>
    <row r="219" spans="1:15" ht="15.75">
      <c r="A219" s="28"/>
      <c r="B219" s="67" t="s">
        <v>156</v>
      </c>
      <c r="C219" s="116"/>
      <c r="D219" s="116"/>
      <c r="E219" s="67"/>
      <c r="F219" s="116"/>
      <c r="G219" s="29"/>
      <c r="H219" s="116"/>
      <c r="I219" s="67">
        <v>5961</v>
      </c>
      <c r="J219" s="116">
        <f>I219/I223</f>
        <v>0.9719549975542149</v>
      </c>
      <c r="K219" s="66">
        <v>66902</v>
      </c>
      <c r="L219" s="117">
        <f>K219/K223</f>
        <v>0.9690745542245462</v>
      </c>
      <c r="M219" s="103"/>
      <c r="N219" s="109"/>
      <c r="O219" s="6"/>
    </row>
    <row r="220" spans="1:15" ht="15.75">
      <c r="A220" s="28"/>
      <c r="B220" s="67" t="s">
        <v>157</v>
      </c>
      <c r="C220" s="116"/>
      <c r="D220" s="116"/>
      <c r="E220" s="67"/>
      <c r="F220" s="116"/>
      <c r="G220" s="29"/>
      <c r="H220" s="118"/>
      <c r="I220" s="67">
        <v>91</v>
      </c>
      <c r="J220" s="116">
        <f>I220/I223</f>
        <v>0.014837762921897929</v>
      </c>
      <c r="K220" s="66">
        <v>1106</v>
      </c>
      <c r="L220" s="117">
        <f>K220/K223</f>
        <v>0.016020394860726858</v>
      </c>
      <c r="M220" s="103"/>
      <c r="N220" s="109"/>
      <c r="O220" s="6"/>
    </row>
    <row r="221" spans="1:15" ht="15.75">
      <c r="A221" s="28"/>
      <c r="B221" s="67" t="s">
        <v>158</v>
      </c>
      <c r="C221" s="116"/>
      <c r="D221" s="116"/>
      <c r="E221" s="67"/>
      <c r="F221" s="116"/>
      <c r="G221" s="29"/>
      <c r="H221" s="118"/>
      <c r="I221" s="67">
        <v>34</v>
      </c>
      <c r="J221" s="116">
        <f>I221/I223</f>
        <v>0.005543779553236589</v>
      </c>
      <c r="K221" s="66">
        <v>475</v>
      </c>
      <c r="L221" s="117">
        <f>K221/K223</f>
        <v>0.0068803684980517695</v>
      </c>
      <c r="M221" s="103"/>
      <c r="N221" s="109"/>
      <c r="O221" s="6"/>
    </row>
    <row r="222" spans="1:15" ht="15.75">
      <c r="A222" s="28"/>
      <c r="B222" s="67" t="s">
        <v>159</v>
      </c>
      <c r="C222" s="116"/>
      <c r="D222" s="116"/>
      <c r="E222" s="67"/>
      <c r="F222" s="116"/>
      <c r="G222" s="29"/>
      <c r="H222" s="118"/>
      <c r="I222" s="67">
        <f>18+29</f>
        <v>47</v>
      </c>
      <c r="J222" s="116">
        <f>I222/I223</f>
        <v>0.007663459970650579</v>
      </c>
      <c r="K222" s="66">
        <f>240+329+3-18</f>
        <v>554</v>
      </c>
      <c r="L222" s="117">
        <f>K222/K223</f>
        <v>0.008024682416675116</v>
      </c>
      <c r="M222" s="103"/>
      <c r="N222" s="109"/>
      <c r="O222" s="6"/>
    </row>
    <row r="223" spans="1:15" ht="15.75">
      <c r="A223" s="28"/>
      <c r="B223" s="29"/>
      <c r="C223" s="29"/>
      <c r="D223" s="29"/>
      <c r="E223" s="37"/>
      <c r="F223" s="29"/>
      <c r="G223" s="29"/>
      <c r="H223" s="29"/>
      <c r="I223" s="65">
        <f>SUM(I219:I222)</f>
        <v>6133</v>
      </c>
      <c r="J223" s="117">
        <f>SUM(J219:J222)</f>
        <v>1</v>
      </c>
      <c r="K223" s="66">
        <f>SUM(K219:K222)</f>
        <v>69037</v>
      </c>
      <c r="L223" s="117">
        <f>SUM(L219:L222)</f>
        <v>0.9999999999999999</v>
      </c>
      <c r="M223" s="103"/>
      <c r="N223" s="29"/>
      <c r="O223" s="6"/>
    </row>
    <row r="224" spans="1:15" ht="15.75">
      <c r="A224" s="28"/>
      <c r="B224" s="29"/>
      <c r="C224" s="29"/>
      <c r="D224" s="29"/>
      <c r="E224" s="37"/>
      <c r="F224" s="29"/>
      <c r="G224" s="29"/>
      <c r="H224" s="29"/>
      <c r="I224" s="65"/>
      <c r="J224" s="117"/>
      <c r="K224" s="66"/>
      <c r="L224" s="117"/>
      <c r="M224" s="103"/>
      <c r="N224" s="29"/>
      <c r="O224" s="6"/>
    </row>
    <row r="225" spans="1:15" ht="15.75">
      <c r="A225" s="28"/>
      <c r="B225" s="32" t="s">
        <v>160</v>
      </c>
      <c r="C225" s="119"/>
      <c r="D225" s="119"/>
      <c r="E225" s="120"/>
      <c r="F225" s="119"/>
      <c r="G225" s="120"/>
      <c r="H225" s="119"/>
      <c r="I225" s="120" t="s">
        <v>206</v>
      </c>
      <c r="J225" s="119" t="s">
        <v>208</v>
      </c>
      <c r="K225" s="120" t="s">
        <v>215</v>
      </c>
      <c r="L225" s="119" t="s">
        <v>208</v>
      </c>
      <c r="M225" s="121"/>
      <c r="N225" s="109"/>
      <c r="O225" s="6"/>
    </row>
    <row r="226" spans="1:15" ht="15.75">
      <c r="A226" s="28"/>
      <c r="B226" s="67" t="s">
        <v>156</v>
      </c>
      <c r="C226" s="116"/>
      <c r="D226" s="116"/>
      <c r="E226" s="67"/>
      <c r="F226" s="116"/>
      <c r="G226" s="29"/>
      <c r="H226" s="116"/>
      <c r="I226" s="67">
        <v>11637</v>
      </c>
      <c r="J226" s="116">
        <f>I226/I230</f>
        <v>0.9856017616668078</v>
      </c>
      <c r="K226" s="66">
        <v>72994</v>
      </c>
      <c r="L226" s="116">
        <f>K226/K230</f>
        <v>0.9827929771650151</v>
      </c>
      <c r="M226" s="103"/>
      <c r="N226" s="109"/>
      <c r="O226" s="6"/>
    </row>
    <row r="227" spans="1:15" ht="15.75">
      <c r="A227" s="28"/>
      <c r="B227" s="67" t="s">
        <v>157</v>
      </c>
      <c r="C227" s="116"/>
      <c r="D227" s="116"/>
      <c r="E227" s="67"/>
      <c r="F227" s="116"/>
      <c r="G227" s="29"/>
      <c r="H227" s="118"/>
      <c r="I227" s="67">
        <v>85</v>
      </c>
      <c r="J227" s="116">
        <f>I227/I230</f>
        <v>0.007199119166596087</v>
      </c>
      <c r="K227" s="66">
        <v>600</v>
      </c>
      <c r="L227" s="116">
        <f>K227/K230</f>
        <v>0.008078414476518742</v>
      </c>
      <c r="M227" s="103"/>
      <c r="N227" s="109"/>
      <c r="O227" s="6"/>
    </row>
    <row r="228" spans="1:15" ht="15.75">
      <c r="A228" s="28"/>
      <c r="B228" s="67" t="s">
        <v>158</v>
      </c>
      <c r="C228" s="116"/>
      <c r="D228" s="116"/>
      <c r="E228" s="67"/>
      <c r="F228" s="116"/>
      <c r="G228" s="29"/>
      <c r="H228" s="118"/>
      <c r="I228" s="67">
        <v>32</v>
      </c>
      <c r="J228" s="116">
        <f>I228/I230</f>
        <v>0.002710256627424409</v>
      </c>
      <c r="K228" s="66">
        <v>226</v>
      </c>
      <c r="L228" s="116">
        <f>K228/K230</f>
        <v>0.0030428694528220595</v>
      </c>
      <c r="M228" s="103"/>
      <c r="N228" s="109"/>
      <c r="O228" s="6"/>
    </row>
    <row r="229" spans="1:15" ht="15.75">
      <c r="A229" s="28"/>
      <c r="B229" s="67" t="s">
        <v>159</v>
      </c>
      <c r="C229" s="116"/>
      <c r="D229" s="116"/>
      <c r="E229" s="67"/>
      <c r="F229" s="116"/>
      <c r="G229" s="29"/>
      <c r="H229" s="118"/>
      <c r="I229" s="67">
        <f>17+36</f>
        <v>53</v>
      </c>
      <c r="J229" s="116">
        <f>I229/I230</f>
        <v>0.0044888625391716775</v>
      </c>
      <c r="K229" s="66">
        <f>123+242+216+3-132</f>
        <v>452</v>
      </c>
      <c r="L229" s="116">
        <f>K229/K230</f>
        <v>0.006085738905644119</v>
      </c>
      <c r="M229" s="103"/>
      <c r="N229" s="109"/>
      <c r="O229" s="6"/>
    </row>
    <row r="230" spans="1:15" ht="15.75">
      <c r="A230" s="28"/>
      <c r="B230" s="29"/>
      <c r="C230" s="29"/>
      <c r="D230" s="29"/>
      <c r="E230" s="37"/>
      <c r="F230" s="29"/>
      <c r="G230" s="29"/>
      <c r="H230" s="29"/>
      <c r="I230" s="65">
        <f>SUM(I226:I229)</f>
        <v>11807</v>
      </c>
      <c r="J230" s="117">
        <f>SUM(J226:J229)</f>
        <v>1</v>
      </c>
      <c r="K230" s="66">
        <f>SUM(K226:K229)</f>
        <v>74272</v>
      </c>
      <c r="L230" s="117">
        <f>SUM(L226:L229)</f>
        <v>1</v>
      </c>
      <c r="M230" s="103"/>
      <c r="N230" s="29"/>
      <c r="O230" s="6"/>
    </row>
    <row r="231" spans="1:15" ht="15.75">
      <c r="A231" s="28"/>
      <c r="B231" s="29"/>
      <c r="C231" s="29"/>
      <c r="D231" s="29"/>
      <c r="E231" s="37"/>
      <c r="F231" s="29"/>
      <c r="G231" s="29"/>
      <c r="H231" s="29"/>
      <c r="I231" s="65"/>
      <c r="J231" s="117"/>
      <c r="K231" s="66"/>
      <c r="L231" s="117"/>
      <c r="M231" s="103"/>
      <c r="N231" s="29"/>
      <c r="O231" s="6"/>
    </row>
    <row r="232" spans="1:15" ht="15.75">
      <c r="A232" s="28"/>
      <c r="B232" s="29" t="s">
        <v>161</v>
      </c>
      <c r="C232" s="29"/>
      <c r="D232" s="29"/>
      <c r="E232" s="37"/>
      <c r="F232" s="29"/>
      <c r="G232" s="29"/>
      <c r="H232" s="29"/>
      <c r="I232" s="65"/>
      <c r="J232" s="117"/>
      <c r="K232" s="66">
        <f>K223+K230</f>
        <v>143309</v>
      </c>
      <c r="L232" s="117"/>
      <c r="M232" s="103"/>
      <c r="N232" s="29"/>
      <c r="O232" s="6"/>
    </row>
    <row r="233" spans="1:15" ht="15.75">
      <c r="A233" s="28"/>
      <c r="B233" s="29"/>
      <c r="C233" s="29"/>
      <c r="D233" s="29"/>
      <c r="E233" s="37"/>
      <c r="F233" s="29"/>
      <c r="G233" s="29"/>
      <c r="H233" s="29"/>
      <c r="I233" s="65"/>
      <c r="J233" s="117"/>
      <c r="K233" s="66"/>
      <c r="L233" s="117"/>
      <c r="M233" s="103"/>
      <c r="N233" s="29"/>
      <c r="O233" s="6"/>
    </row>
    <row r="234" spans="1:15" ht="15.75">
      <c r="A234" s="28"/>
      <c r="B234" s="29"/>
      <c r="C234" s="29"/>
      <c r="D234" s="29"/>
      <c r="E234" s="37"/>
      <c r="F234" s="29"/>
      <c r="G234" s="29"/>
      <c r="H234" s="29"/>
      <c r="I234" s="65"/>
      <c r="J234" s="117"/>
      <c r="K234" s="66"/>
      <c r="L234" s="117"/>
      <c r="M234" s="103"/>
      <c r="N234" s="29"/>
      <c r="O234" s="6"/>
    </row>
    <row r="235" spans="1:15" ht="15.75">
      <c r="A235" s="122"/>
      <c r="B235" s="17" t="s">
        <v>162</v>
      </c>
      <c r="C235" s="123"/>
      <c r="D235" s="123"/>
      <c r="E235" s="20" t="s">
        <v>182</v>
      </c>
      <c r="F235" s="18"/>
      <c r="G235" s="17" t="s">
        <v>194</v>
      </c>
      <c r="H235" s="124"/>
      <c r="I235" s="124"/>
      <c r="J235" s="124"/>
      <c r="K235" s="125"/>
      <c r="L235" s="14"/>
      <c r="M235" s="14"/>
      <c r="N235" s="14"/>
      <c r="O235" s="6"/>
    </row>
    <row r="236" spans="1:15" ht="15.75">
      <c r="A236" s="122"/>
      <c r="B236" s="15" t="s">
        <v>163</v>
      </c>
      <c r="C236" s="126"/>
      <c r="D236" s="126"/>
      <c r="E236" s="127" t="s">
        <v>183</v>
      </c>
      <c r="F236" s="15"/>
      <c r="G236" s="15" t="s">
        <v>195</v>
      </c>
      <c r="H236" s="126"/>
      <c r="I236" s="126"/>
      <c r="J236" s="14"/>
      <c r="K236" s="14"/>
      <c r="L236" s="14"/>
      <c r="M236" s="14"/>
      <c r="N236" s="14"/>
      <c r="O236" s="6"/>
    </row>
    <row r="237" spans="1:15" ht="15.75">
      <c r="A237" s="122"/>
      <c r="B237" s="15" t="s">
        <v>164</v>
      </c>
      <c r="C237" s="126"/>
      <c r="D237" s="126"/>
      <c r="E237" s="127" t="s">
        <v>184</v>
      </c>
      <c r="F237" s="15"/>
      <c r="G237" s="15" t="s">
        <v>196</v>
      </c>
      <c r="H237" s="126"/>
      <c r="I237" s="126"/>
      <c r="J237" s="14"/>
      <c r="K237" s="14"/>
      <c r="L237" s="14"/>
      <c r="M237" s="14"/>
      <c r="N237" s="14"/>
      <c r="O237" s="6"/>
    </row>
    <row r="238" spans="1:15" ht="15.75">
      <c r="A238" s="122"/>
      <c r="B238" s="15"/>
      <c r="C238" s="126"/>
      <c r="D238" s="126"/>
      <c r="E238" s="127"/>
      <c r="F238" s="15"/>
      <c r="G238" s="15"/>
      <c r="H238" s="126"/>
      <c r="I238" s="126"/>
      <c r="J238" s="14"/>
      <c r="K238" s="14"/>
      <c r="L238" s="14"/>
      <c r="M238" s="14"/>
      <c r="N238" s="14"/>
      <c r="O238" s="6"/>
    </row>
    <row r="239" spans="1:15" ht="15">
      <c r="A239" s="122"/>
      <c r="B239" s="14"/>
      <c r="C239" s="14"/>
      <c r="D239" s="14"/>
      <c r="E239" s="14"/>
      <c r="F239" s="14"/>
      <c r="G239" s="14"/>
      <c r="H239" s="14"/>
      <c r="I239" s="14"/>
      <c r="J239" s="14"/>
      <c r="K239" s="14"/>
      <c r="L239" s="14"/>
      <c r="M239" s="14"/>
      <c r="N239" s="14"/>
      <c r="O239" s="6"/>
    </row>
    <row r="240" spans="1:15" ht="15.75">
      <c r="A240" s="128"/>
      <c r="B240" s="15" t="s">
        <v>38</v>
      </c>
      <c r="C240" s="129"/>
      <c r="D240" s="129"/>
      <c r="E240" s="129"/>
      <c r="F240" s="129"/>
      <c r="G240" s="129"/>
      <c r="H240" s="129"/>
      <c r="I240" s="129"/>
      <c r="J240" s="129"/>
      <c r="K240" s="129"/>
      <c r="L240" s="129"/>
      <c r="M240" s="129"/>
      <c r="N240" s="129"/>
      <c r="O240" s="6"/>
    </row>
    <row r="241" spans="1:14" ht="15">
      <c r="A241" s="130"/>
      <c r="B241" s="130"/>
      <c r="C241" s="130"/>
      <c r="D241" s="130"/>
      <c r="E241" s="130"/>
      <c r="F241" s="130"/>
      <c r="G241" s="130"/>
      <c r="H241" s="130"/>
      <c r="I241" s="130"/>
      <c r="J241" s="130"/>
      <c r="K241" s="130"/>
      <c r="L241" s="130"/>
      <c r="M241" s="130"/>
      <c r="N241" s="130"/>
    </row>
  </sheetData>
  <printOptions horizontalCentered="1" verticalCentered="1"/>
  <pageMargins left="0.2362204724409449" right="0.4330708661417323" top="0.2362204724409449" bottom="0.31496062992125984" header="0" footer="0"/>
  <pageSetup horizontalDpi="600" verticalDpi="600" orientation="landscape" paperSize="9" scale="50" r:id="rId2"/>
  <rowBreaks count="3" manualBreakCount="3">
    <brk id="53" max="255" man="1"/>
    <brk id="115" max="255" man="1"/>
    <brk id="174" max="255" man="1"/>
  </rowBreaks>
  <drawing r:id="rId1"/>
</worksheet>
</file>

<file path=xl/worksheets/sheet10.xml><?xml version="1.0" encoding="utf-8"?>
<worksheet xmlns="http://schemas.openxmlformats.org/spreadsheetml/2006/main" xmlns:r="http://schemas.openxmlformats.org/officeDocument/2006/relationships">
  <dimension ref="A1:T24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49.6640625" style="1" customWidth="1"/>
    <col min="3" max="3" width="12.6640625" style="1" customWidth="1"/>
    <col min="4" max="4" width="18.6640625" style="1" customWidth="1"/>
    <col min="5" max="5" width="14.6640625" style="1" customWidth="1"/>
    <col min="6" max="6" width="4.6640625" style="1" customWidth="1"/>
    <col min="7" max="7" width="14.6640625" style="1" customWidth="1"/>
    <col min="8" max="8" width="4.6640625" style="1" customWidth="1"/>
    <col min="9" max="9" width="19.6640625" style="1" customWidth="1"/>
    <col min="10" max="10" width="6.6640625" style="1" customWidth="1"/>
    <col min="11" max="11" width="11.6640625" style="1" customWidth="1"/>
    <col min="12" max="12" width="8.6640625" style="1" customWidth="1"/>
    <col min="13" max="13" width="14.6640625" style="1" customWidth="1"/>
    <col min="14" max="14" width="2.6640625" style="1" customWidth="1"/>
    <col min="15" max="16384" width="9.6640625" style="1" customWidth="1"/>
  </cols>
  <sheetData>
    <row r="1" spans="1:15" ht="20.25">
      <c r="A1" s="2"/>
      <c r="B1" s="3" t="s">
        <v>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44" t="s">
        <v>1</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2</v>
      </c>
      <c r="C5" s="13"/>
      <c r="D5" s="13"/>
      <c r="E5" s="9"/>
      <c r="F5" s="9"/>
      <c r="G5" s="9"/>
      <c r="H5" s="9"/>
      <c r="I5" s="9"/>
      <c r="J5" s="9"/>
      <c r="K5" s="9"/>
      <c r="L5" s="9"/>
      <c r="M5" s="9"/>
      <c r="N5" s="9"/>
      <c r="O5" s="6"/>
    </row>
    <row r="6" spans="1:15" ht="15.75">
      <c r="A6" s="7"/>
      <c r="B6" s="12" t="s">
        <v>3</v>
      </c>
      <c r="C6" s="13"/>
      <c r="D6" s="13"/>
      <c r="E6" s="9"/>
      <c r="F6" s="9"/>
      <c r="G6" s="9"/>
      <c r="H6" s="9"/>
      <c r="I6" s="9"/>
      <c r="J6" s="9"/>
      <c r="K6" s="9"/>
      <c r="L6" s="9"/>
      <c r="M6" s="9"/>
      <c r="N6" s="9"/>
      <c r="O6" s="6"/>
    </row>
    <row r="7" spans="1:15" ht="15.75">
      <c r="A7" s="7"/>
      <c r="B7" s="12" t="s">
        <v>4</v>
      </c>
      <c r="C7" s="13"/>
      <c r="D7" s="13"/>
      <c r="E7" s="9"/>
      <c r="F7" s="9"/>
      <c r="G7" s="9"/>
      <c r="H7" s="9"/>
      <c r="I7" s="9"/>
      <c r="J7" s="9"/>
      <c r="K7" s="9"/>
      <c r="L7" s="9"/>
      <c r="M7" s="9"/>
      <c r="N7" s="9"/>
      <c r="O7" s="6"/>
    </row>
    <row r="8" spans="1:15" ht="15.75">
      <c r="A8" s="7"/>
      <c r="B8" s="14"/>
      <c r="C8" s="13"/>
      <c r="D8" s="13"/>
      <c r="E8" s="9"/>
      <c r="F8" s="9"/>
      <c r="G8" s="9"/>
      <c r="H8" s="9"/>
      <c r="I8" s="9"/>
      <c r="J8" s="9"/>
      <c r="K8" s="9"/>
      <c r="L8" s="9"/>
      <c r="M8" s="9"/>
      <c r="N8" s="9"/>
      <c r="O8" s="6"/>
    </row>
    <row r="9" spans="1:15" ht="15.75">
      <c r="A9" s="7"/>
      <c r="B9" s="13"/>
      <c r="C9" s="13"/>
      <c r="D9" s="13"/>
      <c r="E9" s="15"/>
      <c r="F9" s="15"/>
      <c r="G9" s="9"/>
      <c r="H9" s="9"/>
      <c r="I9" s="9"/>
      <c r="J9" s="9"/>
      <c r="K9" s="9"/>
      <c r="L9" s="9"/>
      <c r="M9" s="9"/>
      <c r="N9" s="9"/>
      <c r="O9" s="6"/>
    </row>
    <row r="10" spans="1:15" ht="15.75">
      <c r="A10" s="7"/>
      <c r="B10" s="15" t="s">
        <v>5</v>
      </c>
      <c r="C10" s="15"/>
      <c r="D10" s="15"/>
      <c r="E10" s="9"/>
      <c r="F10" s="9"/>
      <c r="G10" s="9"/>
      <c r="H10" s="9"/>
      <c r="I10" s="9"/>
      <c r="J10" s="9"/>
      <c r="K10" s="9"/>
      <c r="L10" s="9"/>
      <c r="M10" s="9"/>
      <c r="N10" s="9"/>
      <c r="O10" s="6"/>
    </row>
    <row r="11" spans="1:15" ht="15.75">
      <c r="A11" s="7"/>
      <c r="B11" s="15"/>
      <c r="C11" s="15"/>
      <c r="D11" s="15"/>
      <c r="E11" s="9"/>
      <c r="F11" s="9"/>
      <c r="G11" s="9"/>
      <c r="H11" s="9"/>
      <c r="I11" s="9"/>
      <c r="J11" s="9"/>
      <c r="K11" s="9"/>
      <c r="L11" s="9"/>
      <c r="M11" s="9"/>
      <c r="N11" s="9"/>
      <c r="O11" s="6"/>
    </row>
    <row r="12" spans="1:15" ht="15.75">
      <c r="A12" s="2"/>
      <c r="B12" s="5"/>
      <c r="C12" s="5"/>
      <c r="D12" s="5"/>
      <c r="E12" s="5"/>
      <c r="F12" s="5"/>
      <c r="G12" s="5"/>
      <c r="H12" s="5"/>
      <c r="I12" s="5"/>
      <c r="J12" s="5"/>
      <c r="K12" s="5"/>
      <c r="L12" s="5"/>
      <c r="M12" s="5"/>
      <c r="N12" s="5"/>
      <c r="O12" s="6"/>
    </row>
    <row r="13" spans="1:15" ht="15.75">
      <c r="A13" s="7"/>
      <c r="B13" s="17" t="s">
        <v>6</v>
      </c>
      <c r="C13" s="17"/>
      <c r="D13" s="17"/>
      <c r="E13" s="18"/>
      <c r="F13" s="18"/>
      <c r="G13" s="18"/>
      <c r="H13" s="18"/>
      <c r="I13" s="18"/>
      <c r="J13" s="18"/>
      <c r="K13" s="18"/>
      <c r="L13" s="18"/>
      <c r="M13" s="19" t="s">
        <v>217</v>
      </c>
      <c r="N13" s="9"/>
      <c r="O13" s="6"/>
    </row>
    <row r="14" spans="1:15" ht="15.75">
      <c r="A14" s="7"/>
      <c r="B14" s="17" t="s">
        <v>7</v>
      </c>
      <c r="C14" s="17"/>
      <c r="D14" s="18"/>
      <c r="E14" s="18"/>
      <c r="F14" s="18"/>
      <c r="G14" s="18"/>
      <c r="H14" s="20" t="s">
        <v>197</v>
      </c>
      <c r="I14" s="21">
        <v>0.52</v>
      </c>
      <c r="J14" s="20" t="s">
        <v>207</v>
      </c>
      <c r="K14" s="21">
        <v>0.48</v>
      </c>
      <c r="L14" s="18"/>
      <c r="M14" s="19"/>
      <c r="N14" s="9"/>
      <c r="O14" s="6"/>
    </row>
    <row r="15" spans="1:15" ht="15.75">
      <c r="A15" s="7"/>
      <c r="B15" s="17" t="s">
        <v>8</v>
      </c>
      <c r="C15" s="17"/>
      <c r="D15" s="18"/>
      <c r="E15" s="18"/>
      <c r="F15" s="18"/>
      <c r="G15" s="18"/>
      <c r="H15" s="20" t="s">
        <v>197</v>
      </c>
      <c r="I15" s="21">
        <f>K233/K235</f>
        <v>0.5002471762796746</v>
      </c>
      <c r="J15" s="20" t="s">
        <v>207</v>
      </c>
      <c r="K15" s="21">
        <f>K226/K235</f>
        <v>0.4997528237203254</v>
      </c>
      <c r="L15" s="18"/>
      <c r="M15" s="19"/>
      <c r="N15" s="9"/>
      <c r="O15" s="6"/>
    </row>
    <row r="16" spans="1:15" ht="15.75">
      <c r="A16" s="7"/>
      <c r="B16" s="17" t="s">
        <v>9</v>
      </c>
      <c r="C16" s="17"/>
      <c r="D16" s="17"/>
      <c r="E16" s="18"/>
      <c r="F16" s="18"/>
      <c r="G16" s="18"/>
      <c r="H16" s="18"/>
      <c r="I16" s="18"/>
      <c r="J16" s="18"/>
      <c r="K16" s="18"/>
      <c r="L16" s="18"/>
      <c r="M16" s="20" t="s">
        <v>218</v>
      </c>
      <c r="N16" s="9"/>
      <c r="O16" s="6"/>
    </row>
    <row r="17" spans="1:15" ht="15.75">
      <c r="A17" s="7"/>
      <c r="B17" s="17" t="s">
        <v>10</v>
      </c>
      <c r="C17" s="17"/>
      <c r="D17" s="17"/>
      <c r="E17" s="18"/>
      <c r="F17" s="18"/>
      <c r="G17" s="18"/>
      <c r="H17" s="18"/>
      <c r="I17" s="18"/>
      <c r="J17" s="18"/>
      <c r="K17" s="18"/>
      <c r="L17" s="18"/>
      <c r="M17" s="22">
        <v>37760</v>
      </c>
      <c r="N17" s="9"/>
      <c r="O17" s="6"/>
    </row>
    <row r="18" spans="1:15" ht="15.75">
      <c r="A18" s="7"/>
      <c r="B18" s="9"/>
      <c r="C18" s="9"/>
      <c r="D18" s="9"/>
      <c r="E18" s="9"/>
      <c r="F18" s="9"/>
      <c r="G18" s="9"/>
      <c r="H18" s="9"/>
      <c r="I18" s="9"/>
      <c r="J18" s="9"/>
      <c r="K18" s="9"/>
      <c r="L18" s="9"/>
      <c r="M18" s="23"/>
      <c r="N18" s="9"/>
      <c r="O18" s="6"/>
    </row>
    <row r="19" spans="1:15" ht="15.75">
      <c r="A19" s="7"/>
      <c r="B19" s="24" t="s">
        <v>11</v>
      </c>
      <c r="C19" s="9"/>
      <c r="D19" s="9"/>
      <c r="E19" s="9"/>
      <c r="F19" s="9"/>
      <c r="G19" s="9"/>
      <c r="H19" s="9"/>
      <c r="I19" s="9"/>
      <c r="J19" s="9"/>
      <c r="K19" s="23"/>
      <c r="L19" s="9"/>
      <c r="M19" s="14"/>
      <c r="N19" s="9"/>
      <c r="O19" s="6"/>
    </row>
    <row r="20" spans="1:15" ht="15.75">
      <c r="A20" s="7"/>
      <c r="B20" s="9"/>
      <c r="C20" s="9"/>
      <c r="D20" s="9"/>
      <c r="E20" s="9"/>
      <c r="F20" s="9"/>
      <c r="G20" s="9"/>
      <c r="H20" s="9"/>
      <c r="I20" s="9"/>
      <c r="J20" s="9"/>
      <c r="K20" s="9"/>
      <c r="L20" s="9"/>
      <c r="M20" s="25"/>
      <c r="N20" s="9"/>
      <c r="O20" s="6"/>
    </row>
    <row r="21" spans="1:15" ht="31.5">
      <c r="A21" s="7"/>
      <c r="B21" s="9"/>
      <c r="C21" s="145" t="s">
        <v>165</v>
      </c>
      <c r="D21" s="168" t="s">
        <v>168</v>
      </c>
      <c r="E21" s="168" t="s">
        <v>179</v>
      </c>
      <c r="F21" s="168"/>
      <c r="G21" s="168" t="s">
        <v>185</v>
      </c>
      <c r="H21" s="168"/>
      <c r="I21" s="168" t="s">
        <v>198</v>
      </c>
      <c r="J21" s="168"/>
      <c r="K21" s="27"/>
      <c r="L21" s="14"/>
      <c r="M21" s="14"/>
      <c r="N21" s="9"/>
      <c r="O21" s="6"/>
    </row>
    <row r="22" spans="1:15" ht="15.75">
      <c r="A22" s="28"/>
      <c r="B22" s="29" t="s">
        <v>12</v>
      </c>
      <c r="C22" s="146" t="s">
        <v>166</v>
      </c>
      <c r="D22" s="30" t="s">
        <v>169</v>
      </c>
      <c r="E22" s="30"/>
      <c r="F22" s="30"/>
      <c r="G22" s="30" t="s">
        <v>186</v>
      </c>
      <c r="H22" s="30"/>
      <c r="I22" s="30" t="s">
        <v>199</v>
      </c>
      <c r="J22" s="30"/>
      <c r="K22" s="30"/>
      <c r="L22" s="31"/>
      <c r="M22" s="31"/>
      <c r="N22" s="29"/>
      <c r="O22" s="6"/>
    </row>
    <row r="23" spans="1:15" ht="15.75">
      <c r="A23" s="28"/>
      <c r="B23" s="29" t="s">
        <v>13</v>
      </c>
      <c r="C23" s="32"/>
      <c r="D23" s="33" t="s">
        <v>170</v>
      </c>
      <c r="E23" s="34"/>
      <c r="F23" s="33"/>
      <c r="G23" s="33" t="s">
        <v>187</v>
      </c>
      <c r="H23" s="33"/>
      <c r="I23" s="33" t="s">
        <v>200</v>
      </c>
      <c r="J23" s="35"/>
      <c r="K23" s="35"/>
      <c r="L23" s="36"/>
      <c r="M23" s="31"/>
      <c r="N23" s="29"/>
      <c r="O23" s="6"/>
    </row>
    <row r="24" spans="1:15" ht="15.75">
      <c r="A24" s="28"/>
      <c r="B24" s="32" t="s">
        <v>14</v>
      </c>
      <c r="C24" s="32"/>
      <c r="D24" s="35" t="s">
        <v>169</v>
      </c>
      <c r="E24" s="35"/>
      <c r="F24" s="35"/>
      <c r="G24" s="35" t="s">
        <v>186</v>
      </c>
      <c r="H24" s="35"/>
      <c r="I24" s="35" t="s">
        <v>199</v>
      </c>
      <c r="J24" s="35"/>
      <c r="K24" s="35"/>
      <c r="L24" s="36"/>
      <c r="M24" s="31"/>
      <c r="N24" s="29"/>
      <c r="O24" s="6"/>
    </row>
    <row r="25" spans="1:15" ht="15.75">
      <c r="A25" s="28"/>
      <c r="B25" s="32" t="s">
        <v>15</v>
      </c>
      <c r="C25" s="32"/>
      <c r="D25" s="35" t="s">
        <v>170</v>
      </c>
      <c r="E25" s="35"/>
      <c r="F25" s="35"/>
      <c r="G25" s="35" t="s">
        <v>187</v>
      </c>
      <c r="H25" s="35"/>
      <c r="I25" s="35" t="s">
        <v>200</v>
      </c>
      <c r="J25" s="35"/>
      <c r="K25" s="35"/>
      <c r="L25" s="36"/>
      <c r="M25" s="31"/>
      <c r="N25" s="29"/>
      <c r="O25" s="6"/>
    </row>
    <row r="26" spans="1:15" ht="15.75">
      <c r="A26" s="28"/>
      <c r="B26" s="29" t="s">
        <v>16</v>
      </c>
      <c r="C26" s="29"/>
      <c r="D26" s="37" t="s">
        <v>171</v>
      </c>
      <c r="E26" s="37"/>
      <c r="F26" s="30"/>
      <c r="G26" s="37" t="s">
        <v>188</v>
      </c>
      <c r="H26" s="30"/>
      <c r="I26" s="37" t="s">
        <v>201</v>
      </c>
      <c r="J26" s="30"/>
      <c r="K26" s="37"/>
      <c r="L26" s="31"/>
      <c r="M26" s="31"/>
      <c r="N26" s="29"/>
      <c r="O26" s="6"/>
    </row>
    <row r="27" spans="1:15" ht="15.75">
      <c r="A27" s="28"/>
      <c r="B27" s="29"/>
      <c r="C27" s="29"/>
      <c r="D27" s="29"/>
      <c r="E27" s="29"/>
      <c r="F27" s="30"/>
      <c r="G27" s="30"/>
      <c r="H27" s="30"/>
      <c r="I27" s="30"/>
      <c r="J27" s="30"/>
      <c r="K27" s="30"/>
      <c r="L27" s="31"/>
      <c r="M27" s="31"/>
      <c r="N27" s="29"/>
      <c r="O27" s="6"/>
    </row>
    <row r="28" spans="1:15" ht="15.75">
      <c r="A28" s="28"/>
      <c r="B28" s="29" t="s">
        <v>17</v>
      </c>
      <c r="C28" s="29"/>
      <c r="D28" s="38" t="s">
        <v>172</v>
      </c>
      <c r="E28" s="38">
        <v>168668</v>
      </c>
      <c r="F28" s="39"/>
      <c r="G28" s="38">
        <v>16580</v>
      </c>
      <c r="H28" s="38"/>
      <c r="I28" s="38">
        <v>9750</v>
      </c>
      <c r="J28" s="38"/>
      <c r="K28" s="38"/>
      <c r="L28" s="39" t="s">
        <v>172</v>
      </c>
      <c r="M28" s="38">
        <f>K28+I28+G28+E28</f>
        <v>194998</v>
      </c>
      <c r="N28" s="40"/>
      <c r="O28" s="6"/>
    </row>
    <row r="29" spans="1:15" ht="15.75">
      <c r="A29" s="28"/>
      <c r="B29" s="29" t="s">
        <v>18</v>
      </c>
      <c r="C29" s="41">
        <f>M28/M29</f>
        <v>1</v>
      </c>
      <c r="D29" s="38" t="s">
        <v>173</v>
      </c>
      <c r="E29" s="38">
        <v>168668</v>
      </c>
      <c r="F29" s="39"/>
      <c r="G29" s="38">
        <v>16580</v>
      </c>
      <c r="H29" s="38"/>
      <c r="I29" s="38">
        <v>9750</v>
      </c>
      <c r="J29" s="42"/>
      <c r="K29" s="38"/>
      <c r="L29" s="39" t="s">
        <v>172</v>
      </c>
      <c r="M29" s="38">
        <f>K29+I29+G29+E29</f>
        <v>194998</v>
      </c>
      <c r="N29" s="40"/>
      <c r="O29" s="6"/>
    </row>
    <row r="30" spans="1:15" ht="15.75">
      <c r="A30" s="43"/>
      <c r="B30" s="32" t="s">
        <v>19</v>
      </c>
      <c r="C30" s="44">
        <f>M29/M30</f>
        <v>1</v>
      </c>
      <c r="D30" s="45" t="s">
        <v>172</v>
      </c>
      <c r="E30" s="45">
        <v>168668</v>
      </c>
      <c r="F30" s="46"/>
      <c r="G30" s="45">
        <v>16580</v>
      </c>
      <c r="H30" s="45"/>
      <c r="I30" s="45">
        <v>9750</v>
      </c>
      <c r="J30" s="45"/>
      <c r="K30" s="45"/>
      <c r="L30" s="46" t="s">
        <v>172</v>
      </c>
      <c r="M30" s="45">
        <f>K30+I30+G30+E30</f>
        <v>194998</v>
      </c>
      <c r="N30" s="29"/>
      <c r="O30" s="6"/>
    </row>
    <row r="31" spans="1:15" ht="15.75">
      <c r="A31" s="28"/>
      <c r="B31" s="29" t="s">
        <v>20</v>
      </c>
      <c r="C31" s="47"/>
      <c r="D31" s="37" t="s">
        <v>174</v>
      </c>
      <c r="E31" s="37"/>
      <c r="F31" s="29"/>
      <c r="G31" s="37" t="s">
        <v>189</v>
      </c>
      <c r="H31" s="37"/>
      <c r="I31" s="37" t="s">
        <v>202</v>
      </c>
      <c r="J31" s="37"/>
      <c r="K31" s="37"/>
      <c r="L31" s="31"/>
      <c r="M31" s="31"/>
      <c r="N31" s="29"/>
      <c r="O31" s="6"/>
    </row>
    <row r="32" spans="1:15" ht="15.75">
      <c r="A32" s="28"/>
      <c r="B32" s="29" t="s">
        <v>21</v>
      </c>
      <c r="C32" s="47"/>
      <c r="D32" s="48" t="s">
        <v>175</v>
      </c>
      <c r="E32" s="49">
        <v>0.04075</v>
      </c>
      <c r="F32" s="50"/>
      <c r="G32" s="48">
        <v>0.045</v>
      </c>
      <c r="H32" s="48"/>
      <c r="I32" s="48">
        <v>0.055</v>
      </c>
      <c r="J32" s="51"/>
      <c r="K32" s="48"/>
      <c r="L32" s="31"/>
      <c r="M32" s="51">
        <f>SUMPRODUCT(E32:K32,E30:K30)/M30</f>
        <v>0.041823869988410145</v>
      </c>
      <c r="N32" s="29"/>
      <c r="O32" s="6"/>
    </row>
    <row r="33" spans="1:15" ht="15.75">
      <c r="A33" s="28"/>
      <c r="B33" s="29" t="s">
        <v>22</v>
      </c>
      <c r="C33" s="47"/>
      <c r="D33" s="48">
        <v>0.03047</v>
      </c>
      <c r="E33" s="48"/>
      <c r="F33" s="50"/>
      <c r="G33" s="48" t="s">
        <v>175</v>
      </c>
      <c r="H33" s="48"/>
      <c r="I33" s="48" t="s">
        <v>175</v>
      </c>
      <c r="J33" s="51"/>
      <c r="K33" s="48"/>
      <c r="L33" s="31"/>
      <c r="M33" s="51"/>
      <c r="N33" s="29"/>
      <c r="O33" s="6"/>
    </row>
    <row r="34" spans="1:15" ht="15.75">
      <c r="A34" s="28"/>
      <c r="B34" s="29" t="s">
        <v>23</v>
      </c>
      <c r="C34" s="47"/>
      <c r="D34" s="48" t="s">
        <v>175</v>
      </c>
      <c r="E34" s="48"/>
      <c r="F34" s="48"/>
      <c r="G34" s="48">
        <v>0.0478742</v>
      </c>
      <c r="H34" s="48"/>
      <c r="I34" s="48">
        <v>0.0578742</v>
      </c>
      <c r="J34" s="51"/>
      <c r="K34" s="48"/>
      <c r="L34" s="31"/>
      <c r="M34" s="31"/>
      <c r="N34" s="29"/>
      <c r="O34" s="6"/>
    </row>
    <row r="35" spans="1:15" ht="15.75">
      <c r="A35" s="28"/>
      <c r="B35" s="29" t="s">
        <v>24</v>
      </c>
      <c r="C35" s="47"/>
      <c r="D35" s="48">
        <v>0.03483</v>
      </c>
      <c r="E35" s="48"/>
      <c r="F35" s="50"/>
      <c r="G35" s="48" t="s">
        <v>175</v>
      </c>
      <c r="H35" s="48"/>
      <c r="I35" s="48" t="s">
        <v>175</v>
      </c>
      <c r="J35" s="51"/>
      <c r="K35" s="48"/>
      <c r="L35" s="31"/>
      <c r="M35" s="31"/>
      <c r="N35" s="29"/>
      <c r="O35" s="6"/>
    </row>
    <row r="36" spans="1:15" ht="15.75">
      <c r="A36" s="28"/>
      <c r="B36" s="29" t="s">
        <v>25</v>
      </c>
      <c r="C36" s="47"/>
      <c r="D36" s="37" t="s">
        <v>176</v>
      </c>
      <c r="E36" s="37"/>
      <c r="F36" s="29"/>
      <c r="G36" s="37" t="s">
        <v>176</v>
      </c>
      <c r="H36" s="37"/>
      <c r="I36" s="37" t="s">
        <v>176</v>
      </c>
      <c r="J36" s="37"/>
      <c r="K36" s="37"/>
      <c r="L36" s="31"/>
      <c r="M36" s="31"/>
      <c r="N36" s="29"/>
      <c r="O36" s="6"/>
    </row>
    <row r="37" spans="1:15" ht="15.75">
      <c r="A37" s="28"/>
      <c r="B37" s="29" t="s">
        <v>26</v>
      </c>
      <c r="C37" s="29"/>
      <c r="D37" s="52">
        <v>39036</v>
      </c>
      <c r="E37" s="52"/>
      <c r="F37" s="29"/>
      <c r="G37" s="52">
        <v>39036</v>
      </c>
      <c r="H37" s="52"/>
      <c r="I37" s="52">
        <v>39036</v>
      </c>
      <c r="J37" s="37"/>
      <c r="K37" s="37"/>
      <c r="L37" s="31"/>
      <c r="M37" s="31"/>
      <c r="N37" s="29"/>
      <c r="O37" s="6"/>
    </row>
    <row r="38" spans="1:15" ht="15.75">
      <c r="A38" s="28"/>
      <c r="B38" s="29" t="s">
        <v>27</v>
      </c>
      <c r="C38" s="29"/>
      <c r="D38" s="37" t="s">
        <v>177</v>
      </c>
      <c r="E38" s="37"/>
      <c r="F38" s="29"/>
      <c r="G38" s="37" t="s">
        <v>190</v>
      </c>
      <c r="H38" s="37"/>
      <c r="I38" s="37" t="s">
        <v>203</v>
      </c>
      <c r="J38" s="37"/>
      <c r="K38" s="37"/>
      <c r="L38" s="31"/>
      <c r="M38" s="31"/>
      <c r="N38" s="29"/>
      <c r="O38" s="6"/>
    </row>
    <row r="39" spans="1:15" ht="15.75">
      <c r="A39" s="28"/>
      <c r="B39" s="29"/>
      <c r="C39" s="29"/>
      <c r="D39" s="29"/>
      <c r="E39" s="53"/>
      <c r="F39" s="53"/>
      <c r="G39" s="29"/>
      <c r="H39" s="53"/>
      <c r="I39" s="53"/>
      <c r="J39" s="53"/>
      <c r="K39" s="53"/>
      <c r="L39" s="53"/>
      <c r="M39" s="53"/>
      <c r="N39" s="29"/>
      <c r="O39" s="6"/>
    </row>
    <row r="40" spans="1:15" ht="15.75">
      <c r="A40" s="28"/>
      <c r="B40" s="29" t="s">
        <v>28</v>
      </c>
      <c r="C40" s="29"/>
      <c r="D40" s="29"/>
      <c r="E40" s="29"/>
      <c r="F40" s="29"/>
      <c r="G40" s="50"/>
      <c r="H40" s="29"/>
      <c r="I40" s="50"/>
      <c r="J40" s="29"/>
      <c r="K40" s="29"/>
      <c r="L40" s="29"/>
      <c r="M40" s="51">
        <f>(I28+G28)/(E28)</f>
        <v>0.15610548533213175</v>
      </c>
      <c r="N40" s="29"/>
      <c r="O40" s="6"/>
    </row>
    <row r="41" spans="1:15" ht="15.75">
      <c r="A41" s="28"/>
      <c r="B41" s="29" t="s">
        <v>29</v>
      </c>
      <c r="C41" s="29"/>
      <c r="D41" s="29"/>
      <c r="E41" s="29"/>
      <c r="F41" s="29"/>
      <c r="G41" s="50"/>
      <c r="H41" s="29"/>
      <c r="I41" s="50"/>
      <c r="J41" s="29"/>
      <c r="K41" s="29"/>
      <c r="L41" s="29"/>
      <c r="M41" s="51">
        <f>(I30+G30)/(E30)</f>
        <v>0.15610548533213175</v>
      </c>
      <c r="N41" s="29"/>
      <c r="O41" s="6"/>
    </row>
    <row r="42" spans="1:15" ht="15.75">
      <c r="A42" s="28"/>
      <c r="B42" s="29" t="s">
        <v>30</v>
      </c>
      <c r="C42" s="29"/>
      <c r="D42" s="29"/>
      <c r="E42" s="29"/>
      <c r="F42" s="29"/>
      <c r="G42" s="29"/>
      <c r="H42" s="29"/>
      <c r="I42" s="29"/>
      <c r="J42" s="29"/>
      <c r="K42" s="37" t="s">
        <v>168</v>
      </c>
      <c r="L42" s="37" t="s">
        <v>216</v>
      </c>
      <c r="M42" s="38">
        <v>60336</v>
      </c>
      <c r="N42" s="29"/>
      <c r="O42" s="6"/>
    </row>
    <row r="43" spans="1:15" ht="15.75">
      <c r="A43" s="28"/>
      <c r="B43" s="29"/>
      <c r="C43" s="29"/>
      <c r="D43" s="29"/>
      <c r="E43" s="29"/>
      <c r="F43" s="29"/>
      <c r="G43" s="29"/>
      <c r="H43" s="29"/>
      <c r="I43" s="29"/>
      <c r="J43" s="29"/>
      <c r="K43" s="29"/>
      <c r="L43" s="29"/>
      <c r="M43" s="54"/>
      <c r="N43" s="29"/>
      <c r="O43" s="6"/>
    </row>
    <row r="44" spans="1:15" ht="15.75">
      <c r="A44" s="28"/>
      <c r="B44" s="29" t="s">
        <v>31</v>
      </c>
      <c r="C44" s="29"/>
      <c r="D44" s="29"/>
      <c r="E44" s="29"/>
      <c r="F44" s="29"/>
      <c r="G44" s="29"/>
      <c r="H44" s="29"/>
      <c r="I44" s="29"/>
      <c r="J44" s="29"/>
      <c r="K44" s="37"/>
      <c r="L44" s="37"/>
      <c r="M44" s="37" t="s">
        <v>219</v>
      </c>
      <c r="N44" s="29"/>
      <c r="O44" s="6"/>
    </row>
    <row r="45" spans="1:15" ht="15.75">
      <c r="A45" s="43"/>
      <c r="B45" s="32" t="s">
        <v>32</v>
      </c>
      <c r="C45" s="32"/>
      <c r="D45" s="32"/>
      <c r="E45" s="32"/>
      <c r="F45" s="32"/>
      <c r="G45" s="32"/>
      <c r="H45" s="32"/>
      <c r="I45" s="32"/>
      <c r="J45" s="32"/>
      <c r="K45" s="55"/>
      <c r="L45" s="55"/>
      <c r="M45" s="56">
        <v>37756</v>
      </c>
      <c r="N45" s="32"/>
      <c r="O45" s="6"/>
    </row>
    <row r="46" spans="1:15" ht="15.75">
      <c r="A46" s="28"/>
      <c r="B46" s="29" t="s">
        <v>33</v>
      </c>
      <c r="C46" s="29"/>
      <c r="D46" s="29"/>
      <c r="E46" s="29"/>
      <c r="F46" s="29"/>
      <c r="G46" s="29"/>
      <c r="H46" s="29"/>
      <c r="I46" s="31"/>
      <c r="J46" s="29">
        <f>M46-K46+1</f>
        <v>94</v>
      </c>
      <c r="K46" s="58">
        <v>37575</v>
      </c>
      <c r="L46" s="59"/>
      <c r="M46" s="58">
        <v>37668</v>
      </c>
      <c r="N46" s="29"/>
      <c r="O46" s="6"/>
    </row>
    <row r="47" spans="1:15" ht="15.75">
      <c r="A47" s="28"/>
      <c r="B47" s="29" t="s">
        <v>34</v>
      </c>
      <c r="C47" s="29"/>
      <c r="D47" s="29"/>
      <c r="E47" s="29"/>
      <c r="F47" s="29"/>
      <c r="G47" s="29"/>
      <c r="H47" s="29"/>
      <c r="I47" s="31"/>
      <c r="J47" s="29">
        <f>M47-K47+1</f>
        <v>87</v>
      </c>
      <c r="K47" s="58">
        <v>37669</v>
      </c>
      <c r="L47" s="59"/>
      <c r="M47" s="58">
        <v>37755</v>
      </c>
      <c r="N47" s="29"/>
      <c r="O47" s="6"/>
    </row>
    <row r="48" spans="1:15" ht="15.75">
      <c r="A48" s="28"/>
      <c r="B48" s="29" t="s">
        <v>35</v>
      </c>
      <c r="C48" s="29"/>
      <c r="D48" s="29"/>
      <c r="E48" s="29"/>
      <c r="F48" s="29"/>
      <c r="G48" s="29"/>
      <c r="H48" s="29"/>
      <c r="I48" s="29"/>
      <c r="J48" s="29"/>
      <c r="K48" s="58"/>
      <c r="L48" s="59"/>
      <c r="M48" s="58" t="s">
        <v>220</v>
      </c>
      <c r="N48" s="29"/>
      <c r="O48" s="6"/>
    </row>
    <row r="49" spans="1:15" ht="15.75">
      <c r="A49" s="28"/>
      <c r="B49" s="29" t="s">
        <v>36</v>
      </c>
      <c r="C49" s="29"/>
      <c r="D49" s="29"/>
      <c r="E49" s="29"/>
      <c r="F49" s="29"/>
      <c r="G49" s="29"/>
      <c r="H49" s="29"/>
      <c r="I49" s="29"/>
      <c r="J49" s="29"/>
      <c r="K49" s="58"/>
      <c r="L49" s="59"/>
      <c r="M49" s="58" t="s">
        <v>221</v>
      </c>
      <c r="N49" s="29"/>
      <c r="O49" s="6"/>
    </row>
    <row r="50" spans="1:15" ht="15.75">
      <c r="A50" s="28"/>
      <c r="B50" s="29" t="s">
        <v>37</v>
      </c>
      <c r="C50" s="29"/>
      <c r="D50" s="29"/>
      <c r="E50" s="29"/>
      <c r="F50" s="29"/>
      <c r="G50" s="29"/>
      <c r="H50" s="29"/>
      <c r="I50" s="29"/>
      <c r="J50" s="29"/>
      <c r="K50" s="58"/>
      <c r="L50" s="59"/>
      <c r="M50" s="58">
        <v>37742</v>
      </c>
      <c r="N50" s="29"/>
      <c r="O50" s="6"/>
    </row>
    <row r="51" spans="1:15" ht="15.75">
      <c r="A51" s="28"/>
      <c r="B51" s="29"/>
      <c r="C51" s="29"/>
      <c r="D51" s="29"/>
      <c r="E51" s="29"/>
      <c r="F51" s="29"/>
      <c r="G51" s="29"/>
      <c r="H51" s="29"/>
      <c r="I51" s="29"/>
      <c r="J51" s="29"/>
      <c r="K51" s="29"/>
      <c r="L51" s="29"/>
      <c r="M51" s="60"/>
      <c r="N51" s="29"/>
      <c r="O51" s="6"/>
    </row>
    <row r="52" spans="1:15" ht="15.75">
      <c r="A52" s="7"/>
      <c r="B52" s="9"/>
      <c r="C52" s="9"/>
      <c r="D52" s="9"/>
      <c r="E52" s="9"/>
      <c r="F52" s="9"/>
      <c r="G52" s="9"/>
      <c r="H52" s="9"/>
      <c r="I52" s="9"/>
      <c r="J52" s="9"/>
      <c r="K52" s="9"/>
      <c r="L52" s="9"/>
      <c r="M52" s="61"/>
      <c r="N52" s="9"/>
      <c r="O52" s="6"/>
    </row>
    <row r="53" spans="1:15" ht="16.5" thickBot="1">
      <c r="A53" s="134"/>
      <c r="B53" s="135" t="s">
        <v>239</v>
      </c>
      <c r="C53" s="136"/>
      <c r="D53" s="136"/>
      <c r="E53" s="136"/>
      <c r="F53" s="136"/>
      <c r="G53" s="136"/>
      <c r="H53" s="136"/>
      <c r="I53" s="136"/>
      <c r="J53" s="136"/>
      <c r="K53" s="136"/>
      <c r="L53" s="136"/>
      <c r="M53" s="137"/>
      <c r="N53" s="138"/>
      <c r="O53" s="6"/>
    </row>
    <row r="54" spans="1:15" ht="15.75">
      <c r="A54" s="2"/>
      <c r="B54" s="5"/>
      <c r="C54" s="5"/>
      <c r="D54" s="5"/>
      <c r="E54" s="5"/>
      <c r="F54" s="5"/>
      <c r="G54" s="5"/>
      <c r="H54" s="5"/>
      <c r="I54" s="5"/>
      <c r="J54" s="5"/>
      <c r="K54" s="5"/>
      <c r="L54" s="5"/>
      <c r="M54" s="62"/>
      <c r="N54" s="5"/>
      <c r="O54" s="6"/>
    </row>
    <row r="55" spans="1:15" ht="15" customHeight="1">
      <c r="A55" s="7"/>
      <c r="B55" s="63" t="s">
        <v>39</v>
      </c>
      <c r="C55" s="15"/>
      <c r="D55" s="15"/>
      <c r="E55" s="9"/>
      <c r="F55" s="9"/>
      <c r="G55" s="9"/>
      <c r="H55" s="9"/>
      <c r="I55" s="9"/>
      <c r="J55" s="9"/>
      <c r="K55" s="9"/>
      <c r="L55" s="9"/>
      <c r="M55" s="64"/>
      <c r="N55" s="9"/>
      <c r="O55" s="6"/>
    </row>
    <row r="56" spans="1:15" ht="15.75">
      <c r="A56" s="7"/>
      <c r="B56" s="15"/>
      <c r="C56" s="15"/>
      <c r="D56" s="15"/>
      <c r="E56" s="9"/>
      <c r="F56" s="9"/>
      <c r="G56" s="9"/>
      <c r="H56" s="9"/>
      <c r="I56" s="9"/>
      <c r="J56" s="9"/>
      <c r="K56" s="9"/>
      <c r="L56" s="9"/>
      <c r="M56" s="64"/>
      <c r="N56" s="9"/>
      <c r="O56" s="6"/>
    </row>
    <row r="57" spans="1:15" s="156" customFormat="1" ht="47.25">
      <c r="A57" s="150"/>
      <c r="B57" s="151" t="s">
        <v>40</v>
      </c>
      <c r="C57" s="152" t="s">
        <v>167</v>
      </c>
      <c r="D57" s="152"/>
      <c r="E57" s="152" t="s">
        <v>180</v>
      </c>
      <c r="F57" s="152"/>
      <c r="G57" s="152" t="s">
        <v>191</v>
      </c>
      <c r="H57" s="152"/>
      <c r="I57" s="152" t="s">
        <v>204</v>
      </c>
      <c r="J57" s="152"/>
      <c r="K57" s="152" t="s">
        <v>209</v>
      </c>
      <c r="L57" s="152"/>
      <c r="M57" s="153" t="s">
        <v>222</v>
      </c>
      <c r="N57" s="154"/>
      <c r="O57" s="155"/>
    </row>
    <row r="58" spans="1:15" ht="15.75">
      <c r="A58" s="28"/>
      <c r="B58" s="29" t="s">
        <v>41</v>
      </c>
      <c r="C58" s="65">
        <v>73021</v>
      </c>
      <c r="D58" s="65"/>
      <c r="E58" s="65">
        <v>81887</v>
      </c>
      <c r="F58" s="65"/>
      <c r="G58" s="65">
        <f>12664+126+20+10+72</f>
        <v>12892</v>
      </c>
      <c r="H58" s="65"/>
      <c r="I58" s="65">
        <f>3496+7107+13366+40</f>
        <v>24009</v>
      </c>
      <c r="J58" s="65"/>
      <c r="K58" s="65">
        <v>0</v>
      </c>
      <c r="L58" s="65"/>
      <c r="M58" s="66">
        <f>E58-G58+I58-K58</f>
        <v>93004</v>
      </c>
      <c r="N58" s="29"/>
      <c r="O58" s="6"/>
    </row>
    <row r="59" spans="1:15" ht="15.75">
      <c r="A59" s="28"/>
      <c r="B59" s="29" t="s">
        <v>42</v>
      </c>
      <c r="C59" s="65">
        <v>506</v>
      </c>
      <c r="D59" s="65"/>
      <c r="E59" s="65">
        <v>0</v>
      </c>
      <c r="F59" s="65"/>
      <c r="G59" s="65">
        <f>14+27+56</f>
        <v>97</v>
      </c>
      <c r="H59" s="65"/>
      <c r="I59" s="65">
        <v>97</v>
      </c>
      <c r="J59" s="65"/>
      <c r="K59" s="65">
        <v>0</v>
      </c>
      <c r="L59" s="65"/>
      <c r="M59" s="66">
        <f>E59-G59+I59-K59</f>
        <v>0</v>
      </c>
      <c r="N59" s="29"/>
      <c r="O59" s="6"/>
    </row>
    <row r="60" spans="1:15" ht="15.75">
      <c r="A60" s="28"/>
      <c r="B60" s="29"/>
      <c r="C60" s="65"/>
      <c r="D60" s="65"/>
      <c r="E60" s="65"/>
      <c r="F60" s="65"/>
      <c r="G60" s="65"/>
      <c r="H60" s="65"/>
      <c r="I60" s="65"/>
      <c r="J60" s="65"/>
      <c r="K60" s="65"/>
      <c r="L60" s="65"/>
      <c r="M60" s="66"/>
      <c r="N60" s="29"/>
      <c r="O60" s="6"/>
    </row>
    <row r="61" spans="1:15" ht="15.75">
      <c r="A61" s="28"/>
      <c r="B61" s="29" t="s">
        <v>43</v>
      </c>
      <c r="C61" s="65">
        <f>SUM(C58:C60)</f>
        <v>73527</v>
      </c>
      <c r="D61" s="65"/>
      <c r="E61" s="65">
        <f>SUM(E58:E60)</f>
        <v>81887</v>
      </c>
      <c r="F61" s="65"/>
      <c r="G61" s="65">
        <f>SUM(G58:G60)</f>
        <v>12989</v>
      </c>
      <c r="H61" s="65"/>
      <c r="I61" s="65">
        <f>SUM(I58:I60)</f>
        <v>24106</v>
      </c>
      <c r="J61" s="65"/>
      <c r="K61" s="65">
        <f>SUM(K58:K60)</f>
        <v>0</v>
      </c>
      <c r="L61" s="65"/>
      <c r="M61" s="67">
        <f>SUM(M58:M60)</f>
        <v>93004</v>
      </c>
      <c r="N61" s="29"/>
      <c r="O61" s="6"/>
    </row>
    <row r="62" spans="1:15" ht="15.75">
      <c r="A62" s="28"/>
      <c r="B62" s="29"/>
      <c r="C62" s="65"/>
      <c r="D62" s="65"/>
      <c r="E62" s="65"/>
      <c r="F62" s="65"/>
      <c r="G62" s="65"/>
      <c r="H62" s="65"/>
      <c r="I62" s="65"/>
      <c r="J62" s="65"/>
      <c r="K62" s="65"/>
      <c r="L62" s="65"/>
      <c r="M62" s="67"/>
      <c r="N62" s="29"/>
      <c r="O62" s="6"/>
    </row>
    <row r="63" spans="1:15" ht="15.75">
      <c r="A63" s="7"/>
      <c r="B63" s="144" t="s">
        <v>44</v>
      </c>
      <c r="C63" s="68"/>
      <c r="D63" s="68"/>
      <c r="E63" s="68"/>
      <c r="F63" s="68"/>
      <c r="G63" s="69"/>
      <c r="H63" s="68"/>
      <c r="I63" s="68"/>
      <c r="J63" s="68"/>
      <c r="K63" s="68"/>
      <c r="L63" s="68"/>
      <c r="M63" s="70"/>
      <c r="N63" s="9"/>
      <c r="O63" s="6"/>
    </row>
    <row r="64" spans="1:15" ht="15.75">
      <c r="A64" s="7"/>
      <c r="B64" s="9"/>
      <c r="C64" s="68"/>
      <c r="D64" s="68"/>
      <c r="E64" s="68"/>
      <c r="F64" s="68"/>
      <c r="G64" s="68"/>
      <c r="H64" s="68"/>
      <c r="I64" s="68"/>
      <c r="J64" s="68"/>
      <c r="K64" s="68"/>
      <c r="L64" s="68"/>
      <c r="M64" s="70"/>
      <c r="N64" s="9"/>
      <c r="O64" s="6"/>
    </row>
    <row r="65" spans="1:15" ht="15.75">
      <c r="A65" s="28"/>
      <c r="B65" s="29" t="s">
        <v>41</v>
      </c>
      <c r="C65" s="65">
        <v>79997</v>
      </c>
      <c r="D65" s="65"/>
      <c r="E65" s="66">
        <v>88679</v>
      </c>
      <c r="F65" s="65"/>
      <c r="G65" s="65">
        <f>14645+1458</f>
        <v>16103</v>
      </c>
      <c r="H65" s="65"/>
      <c r="I65" s="65">
        <f>5671+1153+13696</f>
        <v>20520</v>
      </c>
      <c r="J65" s="65"/>
      <c r="K65" s="65"/>
      <c r="L65" s="65"/>
      <c r="M65" s="66">
        <f>E65-G65+I65-K65</f>
        <v>93096</v>
      </c>
      <c r="N65" s="29"/>
      <c r="O65" s="6"/>
    </row>
    <row r="66" spans="1:15" ht="15.75">
      <c r="A66" s="28"/>
      <c r="B66" s="29" t="s">
        <v>42</v>
      </c>
      <c r="C66" s="65">
        <v>611</v>
      </c>
      <c r="D66" s="65"/>
      <c r="E66" s="66">
        <v>0</v>
      </c>
      <c r="F66" s="65"/>
      <c r="G66" s="65">
        <f>24+4+60</f>
        <v>88</v>
      </c>
      <c r="H66" s="65"/>
      <c r="I66" s="65">
        <v>88</v>
      </c>
      <c r="J66" s="65"/>
      <c r="K66" s="65"/>
      <c r="L66" s="65"/>
      <c r="M66" s="66">
        <f>E66-G66+I66-K66</f>
        <v>0</v>
      </c>
      <c r="N66" s="29"/>
      <c r="O66" s="6"/>
    </row>
    <row r="67" spans="1:15" ht="15.75">
      <c r="A67" s="28"/>
      <c r="B67" s="65"/>
      <c r="C67" s="65"/>
      <c r="D67" s="65"/>
      <c r="E67" s="66"/>
      <c r="F67" s="65"/>
      <c r="G67" s="65"/>
      <c r="H67" s="65"/>
      <c r="I67" s="65"/>
      <c r="J67" s="65"/>
      <c r="K67" s="65"/>
      <c r="L67" s="65"/>
      <c r="M67" s="66"/>
      <c r="N67" s="29"/>
      <c r="O67" s="6"/>
    </row>
    <row r="68" spans="1:15" ht="15.75">
      <c r="A68" s="28"/>
      <c r="B68" s="29" t="s">
        <v>43</v>
      </c>
      <c r="C68" s="65">
        <f>SUM(C65:C67)</f>
        <v>80608</v>
      </c>
      <c r="D68" s="65"/>
      <c r="E68" s="65">
        <f>E65</f>
        <v>88679</v>
      </c>
      <c r="F68" s="65"/>
      <c r="G68" s="65">
        <f>SUM(G65:G67)</f>
        <v>16191</v>
      </c>
      <c r="H68" s="65"/>
      <c r="I68" s="65">
        <f>SUM(I65:I67)</f>
        <v>20608</v>
      </c>
      <c r="J68" s="65"/>
      <c r="K68" s="65">
        <f>SUM(K65:K67)</f>
        <v>0</v>
      </c>
      <c r="L68" s="65"/>
      <c r="M68" s="65">
        <f>SUM(M65:M67)</f>
        <v>93096</v>
      </c>
      <c r="N68" s="29"/>
      <c r="O68" s="6"/>
    </row>
    <row r="69" spans="1:15" ht="15.75">
      <c r="A69" s="28"/>
      <c r="B69" s="29"/>
      <c r="C69" s="65"/>
      <c r="D69" s="65"/>
      <c r="E69" s="67"/>
      <c r="F69" s="65"/>
      <c r="G69" s="65"/>
      <c r="H69" s="65"/>
      <c r="I69" s="65"/>
      <c r="J69" s="65"/>
      <c r="K69" s="65"/>
      <c r="L69" s="65"/>
      <c r="M69" s="67"/>
      <c r="N69" s="29"/>
      <c r="O69" s="6"/>
    </row>
    <row r="70" spans="1:15" ht="15.75">
      <c r="A70" s="28"/>
      <c r="B70" s="29" t="s">
        <v>45</v>
      </c>
      <c r="C70" s="65">
        <v>0</v>
      </c>
      <c r="D70" s="65"/>
      <c r="E70" s="65">
        <v>0</v>
      </c>
      <c r="F70" s="65"/>
      <c r="G70" s="65"/>
      <c r="H70" s="65"/>
      <c r="I70" s="65"/>
      <c r="J70" s="65"/>
      <c r="K70" s="65"/>
      <c r="L70" s="65"/>
      <c r="M70" s="65">
        <f>E70+G70</f>
        <v>0</v>
      </c>
      <c r="N70" s="29"/>
      <c r="O70" s="6"/>
    </row>
    <row r="71" spans="1:16" ht="15.75">
      <c r="A71" s="28"/>
      <c r="B71" s="29" t="s">
        <v>46</v>
      </c>
      <c r="C71" s="65">
        <v>0</v>
      </c>
      <c r="D71" s="65"/>
      <c r="E71" s="67">
        <v>2926</v>
      </c>
      <c r="F71" s="65"/>
      <c r="G71" s="65"/>
      <c r="H71" s="65"/>
      <c r="I71" s="65">
        <v>0</v>
      </c>
      <c r="J71" s="65"/>
      <c r="K71" s="65"/>
      <c r="L71" s="65"/>
      <c r="M71" s="67">
        <f>E71+I71</f>
        <v>2926</v>
      </c>
      <c r="N71" s="29"/>
      <c r="O71" s="6"/>
      <c r="P71" s="143"/>
    </row>
    <row r="72" spans="1:18" ht="15.75">
      <c r="A72" s="28"/>
      <c r="B72" s="29" t="s">
        <v>47</v>
      </c>
      <c r="C72" s="65">
        <v>40958</v>
      </c>
      <c r="D72" s="65"/>
      <c r="E72" s="67">
        <v>20306</v>
      </c>
      <c r="F72" s="65"/>
      <c r="G72" s="65">
        <f>G68+G61</f>
        <v>29180</v>
      </c>
      <c r="H72" s="65"/>
      <c r="I72" s="65">
        <f>-I68-I61</f>
        <v>-44714</v>
      </c>
      <c r="J72" s="65"/>
      <c r="K72" s="65"/>
      <c r="L72" s="65"/>
      <c r="M72" s="67">
        <f>E72+G88+I72</f>
        <v>3188</v>
      </c>
      <c r="N72" s="29"/>
      <c r="O72" s="6"/>
      <c r="P72" s="131"/>
      <c r="R72" s="132"/>
    </row>
    <row r="73" spans="1:16" ht="15.75">
      <c r="A73" s="28"/>
      <c r="B73" s="29" t="s">
        <v>48</v>
      </c>
      <c r="C73" s="65">
        <v>0</v>
      </c>
      <c r="D73" s="65"/>
      <c r="E73" s="67">
        <v>4221</v>
      </c>
      <c r="F73" s="65"/>
      <c r="G73" s="65"/>
      <c r="H73" s="65"/>
      <c r="I73" s="65">
        <v>-1584</v>
      </c>
      <c r="J73" s="65"/>
      <c r="K73" s="65"/>
      <c r="L73" s="65"/>
      <c r="M73" s="67">
        <f>-I73+E73</f>
        <v>5805</v>
      </c>
      <c r="N73" s="29"/>
      <c r="O73" s="6"/>
      <c r="P73" s="132"/>
    </row>
    <row r="74" spans="1:20" ht="15.75">
      <c r="A74" s="28"/>
      <c r="B74" s="29" t="s">
        <v>49</v>
      </c>
      <c r="C74" s="65">
        <v>-95</v>
      </c>
      <c r="D74" s="65"/>
      <c r="E74" s="67">
        <v>-95</v>
      </c>
      <c r="F74" s="65"/>
      <c r="G74" s="65">
        <v>0</v>
      </c>
      <c r="H74" s="65"/>
      <c r="I74" s="65"/>
      <c r="J74" s="65"/>
      <c r="K74" s="65"/>
      <c r="L74" s="65"/>
      <c r="M74" s="67">
        <f>E74+G74</f>
        <v>-95</v>
      </c>
      <c r="N74" s="29"/>
      <c r="O74" s="6"/>
      <c r="P74" s="131"/>
      <c r="R74" s="131"/>
      <c r="T74" s="131"/>
    </row>
    <row r="75" spans="1:16" ht="15.75">
      <c r="A75" s="28"/>
      <c r="B75" s="29" t="s">
        <v>50</v>
      </c>
      <c r="C75" s="65">
        <v>0</v>
      </c>
      <c r="D75" s="65"/>
      <c r="E75" s="67">
        <v>0</v>
      </c>
      <c r="F75" s="65"/>
      <c r="G75" s="65"/>
      <c r="H75" s="65"/>
      <c r="I75" s="71"/>
      <c r="J75" s="65"/>
      <c r="K75" s="65"/>
      <c r="L75" s="65"/>
      <c r="M75" s="67">
        <v>0</v>
      </c>
      <c r="N75" s="29"/>
      <c r="O75" s="6"/>
      <c r="P75" s="132"/>
    </row>
    <row r="76" spans="1:20" ht="15.75">
      <c r="A76" s="28"/>
      <c r="B76" s="29" t="s">
        <v>19</v>
      </c>
      <c r="C76" s="67">
        <f>SUM(C68:C74)+C61</f>
        <v>194998</v>
      </c>
      <c r="D76" s="67"/>
      <c r="E76" s="67">
        <f>SUM(E68:E75)+E61</f>
        <v>197924</v>
      </c>
      <c r="F76" s="65"/>
      <c r="G76" s="65">
        <f>G72-G74</f>
        <v>29180</v>
      </c>
      <c r="H76" s="65"/>
      <c r="I76" s="65"/>
      <c r="J76" s="65"/>
      <c r="K76" s="65"/>
      <c r="L76" s="65"/>
      <c r="M76" s="67">
        <f>SUM(M68:M75)+M61</f>
        <v>197924</v>
      </c>
      <c r="N76" s="29"/>
      <c r="O76" s="6"/>
      <c r="P76" s="132"/>
      <c r="R76" s="131"/>
      <c r="T76" s="131"/>
    </row>
    <row r="77" spans="1:16" ht="15.75">
      <c r="A77" s="28"/>
      <c r="B77" s="65"/>
      <c r="C77" s="65"/>
      <c r="D77" s="65"/>
      <c r="E77" s="65"/>
      <c r="F77" s="65"/>
      <c r="G77" s="65"/>
      <c r="H77" s="65"/>
      <c r="I77" s="65"/>
      <c r="J77" s="65"/>
      <c r="K77" s="65"/>
      <c r="L77" s="65"/>
      <c r="M77" s="65"/>
      <c r="N77" s="29"/>
      <c r="O77" s="6"/>
      <c r="P77" s="132"/>
    </row>
    <row r="78" spans="1:16" ht="15.75">
      <c r="A78" s="7"/>
      <c r="B78" s="68"/>
      <c r="C78" s="9"/>
      <c r="D78" s="9"/>
      <c r="E78" s="9"/>
      <c r="F78" s="9"/>
      <c r="G78" s="20" t="s">
        <v>192</v>
      </c>
      <c r="H78" s="9"/>
      <c r="I78" s="9"/>
      <c r="J78" s="9"/>
      <c r="K78" s="23"/>
      <c r="L78" s="9"/>
      <c r="M78" s="20" t="s">
        <v>192</v>
      </c>
      <c r="N78" s="9"/>
      <c r="O78" s="6"/>
      <c r="P78" s="132"/>
    </row>
    <row r="79" spans="1:19" ht="15.75">
      <c r="A79" s="7"/>
      <c r="B79" s="63" t="s">
        <v>51</v>
      </c>
      <c r="C79" s="17"/>
      <c r="D79" s="17" t="s">
        <v>178</v>
      </c>
      <c r="E79" s="17" t="s">
        <v>181</v>
      </c>
      <c r="F79" s="17"/>
      <c r="G79" s="20" t="s">
        <v>193</v>
      </c>
      <c r="H79" s="17"/>
      <c r="I79" s="17" t="s">
        <v>178</v>
      </c>
      <c r="J79" s="20"/>
      <c r="K79" s="20" t="s">
        <v>181</v>
      </c>
      <c r="L79" s="20"/>
      <c r="M79" s="20" t="s">
        <v>223</v>
      </c>
      <c r="N79" s="17"/>
      <c r="O79" s="6"/>
      <c r="P79" s="131"/>
      <c r="R79" s="132"/>
      <c r="S79" s="131"/>
    </row>
    <row r="80" spans="1:15" ht="15.75">
      <c r="A80" s="28"/>
      <c r="B80" s="29" t="s">
        <v>52</v>
      </c>
      <c r="C80" s="29"/>
      <c r="D80" s="29">
        <v>0</v>
      </c>
      <c r="E80" s="29">
        <v>0</v>
      </c>
      <c r="F80" s="29"/>
      <c r="G80" s="65">
        <f>SUM(C80:E80)</f>
        <v>0</v>
      </c>
      <c r="H80" s="29"/>
      <c r="I80" s="29">
        <v>0</v>
      </c>
      <c r="J80" s="29"/>
      <c r="K80" s="65">
        <f>SUM(G80:I80)</f>
        <v>0</v>
      </c>
      <c r="L80" s="29"/>
      <c r="M80" s="66">
        <v>0</v>
      </c>
      <c r="N80" s="29"/>
      <c r="O80" s="6"/>
    </row>
    <row r="81" spans="1:15" ht="15.75">
      <c r="A81" s="28"/>
      <c r="B81" s="29" t="s">
        <v>53</v>
      </c>
      <c r="C81" s="53"/>
      <c r="D81" s="29">
        <f>12664+30+72</f>
        <v>12766</v>
      </c>
      <c r="E81" s="29">
        <v>14645</v>
      </c>
      <c r="F81" s="29"/>
      <c r="G81" s="65">
        <f>E81+D81</f>
        <v>27411</v>
      </c>
      <c r="H81" s="29"/>
      <c r="I81" s="29"/>
      <c r="J81" s="29"/>
      <c r="K81" s="65">
        <v>0</v>
      </c>
      <c r="L81" s="29"/>
      <c r="M81" s="66"/>
      <c r="N81" s="29"/>
      <c r="O81" s="6"/>
    </row>
    <row r="82" spans="1:15" ht="15.75">
      <c r="A82" s="28"/>
      <c r="B82" s="29" t="s">
        <v>54</v>
      </c>
      <c r="C82" s="29"/>
      <c r="D82" s="29"/>
      <c r="E82" s="29"/>
      <c r="F82" s="29"/>
      <c r="G82" s="65"/>
      <c r="H82" s="29"/>
      <c r="I82" s="29">
        <f>1432+189+1495+287+1476+246+20-1970-72</f>
        <v>3103</v>
      </c>
      <c r="J82" s="29"/>
      <c r="K82" s="65">
        <f>3020+225+3739+238+3212+294+22-7254+14+200-1</f>
        <v>3709</v>
      </c>
      <c r="L82" s="29"/>
      <c r="M82" s="66">
        <f>K82+I82</f>
        <v>6812</v>
      </c>
      <c r="N82" s="29"/>
      <c r="O82" s="6"/>
    </row>
    <row r="83" spans="1:15" ht="15.75">
      <c r="A83" s="28"/>
      <c r="B83" s="29" t="s">
        <v>55</v>
      </c>
      <c r="C83" s="29"/>
      <c r="D83" s="29"/>
      <c r="E83" s="29"/>
      <c r="F83" s="29"/>
      <c r="G83" s="65"/>
      <c r="H83" s="29"/>
      <c r="I83" s="29"/>
      <c r="J83" s="29"/>
      <c r="K83" s="65"/>
      <c r="L83" s="29"/>
      <c r="M83" s="66">
        <f>156+55+47</f>
        <v>258</v>
      </c>
      <c r="N83" s="29"/>
      <c r="O83" s="6"/>
    </row>
    <row r="84" spans="1:20" ht="15.75">
      <c r="A84" s="28"/>
      <c r="B84" s="29" t="s">
        <v>56</v>
      </c>
      <c r="C84" s="29"/>
      <c r="D84" s="29"/>
      <c r="E84" s="29"/>
      <c r="F84" s="29"/>
      <c r="G84" s="65"/>
      <c r="H84" s="29"/>
      <c r="I84" s="29"/>
      <c r="J84" s="29"/>
      <c r="K84" s="65"/>
      <c r="L84" s="29"/>
      <c r="M84" s="66">
        <v>0</v>
      </c>
      <c r="N84" s="29"/>
      <c r="O84" s="6"/>
      <c r="P84" s="132"/>
      <c r="R84" s="132"/>
      <c r="T84" s="132"/>
    </row>
    <row r="85" spans="1:20" ht="15.75">
      <c r="A85" s="28"/>
      <c r="B85" s="29" t="s">
        <v>57</v>
      </c>
      <c r="C85" s="29"/>
      <c r="D85" s="29"/>
      <c r="E85" s="29"/>
      <c r="F85" s="29"/>
      <c r="G85" s="65"/>
      <c r="H85" s="29"/>
      <c r="I85" s="29"/>
      <c r="J85" s="29"/>
      <c r="K85" s="65"/>
      <c r="L85" s="29"/>
      <c r="M85" s="66">
        <v>0</v>
      </c>
      <c r="N85" s="29"/>
      <c r="O85" s="6"/>
      <c r="P85" s="132"/>
      <c r="R85" s="132"/>
      <c r="T85" s="132"/>
    </row>
    <row r="86" spans="1:15" ht="15.75">
      <c r="A86" s="28"/>
      <c r="B86" s="29" t="s">
        <v>58</v>
      </c>
      <c r="C86" s="29"/>
      <c r="D86" s="65">
        <f>SUM(D80:D85)</f>
        <v>12766</v>
      </c>
      <c r="E86" s="65">
        <f>SUM(E80:E85)</f>
        <v>14645</v>
      </c>
      <c r="F86" s="29"/>
      <c r="G86" s="65">
        <f>SUM(G80:G85)</f>
        <v>27411</v>
      </c>
      <c r="H86" s="29"/>
      <c r="I86" s="65">
        <f>SUM(I80:I85)</f>
        <v>3103</v>
      </c>
      <c r="J86" s="29"/>
      <c r="K86" s="65">
        <f>SUM(K80:K85)</f>
        <v>3709</v>
      </c>
      <c r="L86" s="29"/>
      <c r="M86" s="67">
        <f>SUM(M80:M85)</f>
        <v>7070</v>
      </c>
      <c r="N86" s="29"/>
      <c r="O86" s="6"/>
    </row>
    <row r="87" spans="1:20" ht="15.75">
      <c r="A87" s="28"/>
      <c r="B87" s="29" t="s">
        <v>59</v>
      </c>
      <c r="C87" s="29"/>
      <c r="D87" s="65">
        <f>G59</f>
        <v>97</v>
      </c>
      <c r="E87" s="65">
        <f>G66</f>
        <v>88</v>
      </c>
      <c r="F87" s="29"/>
      <c r="G87" s="65">
        <f>E87+D87</f>
        <v>185</v>
      </c>
      <c r="H87" s="29"/>
      <c r="I87" s="65">
        <v>0</v>
      </c>
      <c r="J87" s="29"/>
      <c r="K87" s="65">
        <v>0</v>
      </c>
      <c r="L87" s="29"/>
      <c r="M87" s="66">
        <f>-G87</f>
        <v>-185</v>
      </c>
      <c r="N87" s="29"/>
      <c r="O87" s="6"/>
      <c r="P87" s="132"/>
      <c r="R87" s="132"/>
      <c r="T87" s="132"/>
    </row>
    <row r="88" spans="1:15" ht="15.75">
      <c r="A88" s="28"/>
      <c r="B88" s="29" t="s">
        <v>60</v>
      </c>
      <c r="C88" s="29"/>
      <c r="D88" s="65">
        <f>D86+D87</f>
        <v>12863</v>
      </c>
      <c r="E88" s="65">
        <f>E86+E87</f>
        <v>14733</v>
      </c>
      <c r="F88" s="29"/>
      <c r="G88" s="65">
        <f>G86+G87</f>
        <v>27596</v>
      </c>
      <c r="H88" s="29"/>
      <c r="I88" s="65">
        <f>I86+I87</f>
        <v>3103</v>
      </c>
      <c r="J88" s="29"/>
      <c r="K88" s="65">
        <f>K86+K87</f>
        <v>3709</v>
      </c>
      <c r="L88" s="29"/>
      <c r="M88" s="67">
        <f>M86+M87</f>
        <v>6885</v>
      </c>
      <c r="N88" s="29"/>
      <c r="O88" s="6"/>
    </row>
    <row r="89" spans="1:15" ht="15.75">
      <c r="A89" s="28"/>
      <c r="B89" s="157" t="s">
        <v>61</v>
      </c>
      <c r="C89" s="72"/>
      <c r="D89" s="72"/>
      <c r="E89" s="29"/>
      <c r="F89" s="29"/>
      <c r="G89" s="29"/>
      <c r="H89" s="29"/>
      <c r="I89" s="29"/>
      <c r="J89" s="29"/>
      <c r="K89" s="65"/>
      <c r="L89" s="29"/>
      <c r="M89" s="66"/>
      <c r="N89" s="29"/>
      <c r="O89" s="6"/>
    </row>
    <row r="90" spans="1:15" ht="15.75">
      <c r="A90" s="28">
        <v>1</v>
      </c>
      <c r="B90" s="29" t="s">
        <v>62</v>
      </c>
      <c r="C90" s="29"/>
      <c r="D90" s="29"/>
      <c r="E90" s="29"/>
      <c r="F90" s="29"/>
      <c r="G90" s="29"/>
      <c r="H90" s="29"/>
      <c r="I90" s="29"/>
      <c r="J90" s="29"/>
      <c r="K90" s="29"/>
      <c r="L90" s="29"/>
      <c r="M90" s="66">
        <v>-4</v>
      </c>
      <c r="N90" s="29"/>
      <c r="O90" s="6"/>
    </row>
    <row r="91" spans="1:15" ht="15.75">
      <c r="A91" s="28">
        <v>2</v>
      </c>
      <c r="B91" s="29" t="s">
        <v>63</v>
      </c>
      <c r="C91" s="29"/>
      <c r="D91" s="29"/>
      <c r="E91" s="29"/>
      <c r="F91" s="29"/>
      <c r="G91" s="29"/>
      <c r="H91" s="29"/>
      <c r="I91" s="29"/>
      <c r="J91" s="29"/>
      <c r="K91" s="29"/>
      <c r="L91" s="29"/>
      <c r="M91" s="66">
        <f>-209-57</f>
        <v>-266</v>
      </c>
      <c r="N91" s="29"/>
      <c r="O91" s="6"/>
    </row>
    <row r="92" spans="1:15" ht="15.75">
      <c r="A92" s="28">
        <v>3</v>
      </c>
      <c r="B92" s="29" t="s">
        <v>64</v>
      </c>
      <c r="C92" s="29"/>
      <c r="D92" s="29"/>
      <c r="E92" s="29"/>
      <c r="F92" s="29"/>
      <c r="G92" s="29"/>
      <c r="H92" s="29"/>
      <c r="I92" s="29"/>
      <c r="J92" s="29"/>
      <c r="K92" s="29"/>
      <c r="L92" s="29"/>
      <c r="M92" s="66">
        <v>-1638</v>
      </c>
      <c r="N92" s="29"/>
      <c r="O92" s="6"/>
    </row>
    <row r="93" spans="1:15" ht="15.75">
      <c r="A93" s="28">
        <v>4</v>
      </c>
      <c r="B93" s="29" t="s">
        <v>227</v>
      </c>
      <c r="C93" s="29"/>
      <c r="D93" s="29"/>
      <c r="E93" s="29"/>
      <c r="F93" s="29"/>
      <c r="G93" s="29"/>
      <c r="H93" s="29"/>
      <c r="I93" s="29"/>
      <c r="J93" s="29"/>
      <c r="K93" s="29"/>
      <c r="L93" s="29"/>
      <c r="M93" s="66">
        <v>-201</v>
      </c>
      <c r="N93" s="29"/>
      <c r="O93" s="6"/>
    </row>
    <row r="94" spans="1:15" ht="15.75">
      <c r="A94" s="28">
        <v>4</v>
      </c>
      <c r="B94" s="29" t="s">
        <v>65</v>
      </c>
      <c r="C94" s="29"/>
      <c r="D94" s="29"/>
      <c r="E94" s="29"/>
      <c r="F94" s="29"/>
      <c r="G94" s="29"/>
      <c r="H94" s="29"/>
      <c r="I94" s="29"/>
      <c r="J94" s="29"/>
      <c r="K94" s="29"/>
      <c r="L94" s="29"/>
      <c r="M94" s="66">
        <v>-5</v>
      </c>
      <c r="N94" s="29"/>
      <c r="O94" s="6"/>
    </row>
    <row r="95" spans="1:15" ht="15.75">
      <c r="A95" s="28">
        <v>5</v>
      </c>
      <c r="B95" s="29" t="s">
        <v>66</v>
      </c>
      <c r="C95" s="29"/>
      <c r="D95" s="29"/>
      <c r="E95" s="29"/>
      <c r="F95" s="29"/>
      <c r="G95" s="29"/>
      <c r="H95" s="29"/>
      <c r="I95" s="29"/>
      <c r="J95" s="29"/>
      <c r="K95" s="29"/>
      <c r="L95" s="29"/>
      <c r="M95" s="66">
        <v>-178</v>
      </c>
      <c r="N95" s="29"/>
      <c r="O95" s="6"/>
    </row>
    <row r="96" spans="1:15" ht="15.75">
      <c r="A96" s="28">
        <v>6</v>
      </c>
      <c r="B96" s="29" t="s">
        <v>67</v>
      </c>
      <c r="C96" s="29"/>
      <c r="D96" s="29"/>
      <c r="E96" s="29"/>
      <c r="F96" s="29"/>
      <c r="G96" s="29"/>
      <c r="H96" s="29"/>
      <c r="I96" s="29"/>
      <c r="J96" s="29"/>
      <c r="K96" s="29"/>
      <c r="L96" s="29"/>
      <c r="M96" s="66">
        <v>-128</v>
      </c>
      <c r="N96" s="29"/>
      <c r="O96" s="6"/>
    </row>
    <row r="97" spans="1:15" ht="15.75">
      <c r="A97" s="28">
        <v>7</v>
      </c>
      <c r="B97" s="29" t="s">
        <v>68</v>
      </c>
      <c r="C97" s="29"/>
      <c r="D97" s="29"/>
      <c r="E97" s="29"/>
      <c r="F97" s="29"/>
      <c r="G97" s="29"/>
      <c r="H97" s="29"/>
      <c r="I97" s="29"/>
      <c r="J97" s="29"/>
      <c r="K97" s="29"/>
      <c r="L97" s="29"/>
      <c r="M97" s="66">
        <v>0</v>
      </c>
      <c r="N97" s="29"/>
      <c r="O97" s="6"/>
    </row>
    <row r="98" spans="1:15" ht="15.75">
      <c r="A98" s="28">
        <v>8</v>
      </c>
      <c r="B98" s="29" t="s">
        <v>69</v>
      </c>
      <c r="C98" s="29"/>
      <c r="D98" s="29"/>
      <c r="E98" s="29"/>
      <c r="F98" s="29"/>
      <c r="G98" s="29"/>
      <c r="H98" s="29"/>
      <c r="I98" s="29"/>
      <c r="J98" s="29"/>
      <c r="K98" s="65">
        <f>-M98</f>
        <v>1584</v>
      </c>
      <c r="L98" s="29"/>
      <c r="M98" s="66">
        <f>I73</f>
        <v>-1584</v>
      </c>
      <c r="N98" s="29"/>
      <c r="O98" s="6"/>
    </row>
    <row r="99" spans="1:15" ht="15.75">
      <c r="A99" s="28">
        <v>9</v>
      </c>
      <c r="B99" s="29" t="s">
        <v>46</v>
      </c>
      <c r="C99" s="29"/>
      <c r="D99" s="29"/>
      <c r="E99" s="29"/>
      <c r="F99" s="29"/>
      <c r="G99" s="29"/>
      <c r="H99" s="29"/>
      <c r="I99" s="29"/>
      <c r="J99" s="29"/>
      <c r="K99" s="65">
        <f>-M99</f>
        <v>0</v>
      </c>
      <c r="L99" s="29"/>
      <c r="M99" s="66">
        <v>0</v>
      </c>
      <c r="N99" s="29"/>
      <c r="O99" s="6"/>
    </row>
    <row r="100" spans="1:15" ht="15.75">
      <c r="A100" s="28">
        <v>10</v>
      </c>
      <c r="B100" s="29" t="s">
        <v>228</v>
      </c>
      <c r="C100" s="29"/>
      <c r="D100" s="29"/>
      <c r="E100" s="29"/>
      <c r="F100" s="29"/>
      <c r="G100" s="29"/>
      <c r="H100" s="29"/>
      <c r="I100" s="29"/>
      <c r="J100" s="29"/>
      <c r="K100" s="29"/>
      <c r="L100" s="29"/>
      <c r="M100" s="66">
        <v>-244</v>
      </c>
      <c r="N100" s="29"/>
      <c r="O100" s="6"/>
    </row>
    <row r="101" spans="1:15" ht="15.75">
      <c r="A101" s="28">
        <v>11</v>
      </c>
      <c r="B101" s="29" t="s">
        <v>71</v>
      </c>
      <c r="C101" s="29"/>
      <c r="D101" s="29"/>
      <c r="E101" s="29"/>
      <c r="F101" s="29"/>
      <c r="G101" s="29"/>
      <c r="H101" s="29"/>
      <c r="I101" s="29"/>
      <c r="J101" s="29"/>
      <c r="K101" s="29"/>
      <c r="L101" s="29"/>
      <c r="M101" s="66">
        <f>SUM(M88:M100)*-1</f>
        <v>-2637</v>
      </c>
      <c r="N101" s="29"/>
      <c r="O101" s="6"/>
    </row>
    <row r="102" spans="1:16" ht="15.75">
      <c r="A102" s="28"/>
      <c r="B102" s="157" t="s">
        <v>72</v>
      </c>
      <c r="C102" s="72"/>
      <c r="D102" s="72"/>
      <c r="E102" s="29"/>
      <c r="F102" s="29"/>
      <c r="G102" s="29"/>
      <c r="H102" s="29"/>
      <c r="I102" s="29"/>
      <c r="J102" s="29"/>
      <c r="K102" s="29"/>
      <c r="L102" s="29"/>
      <c r="M102" s="73"/>
      <c r="N102" s="29"/>
      <c r="O102" s="6"/>
      <c r="P102" s="132"/>
    </row>
    <row r="103" spans="1:15" ht="15.75">
      <c r="A103" s="28"/>
      <c r="B103" s="74" t="s">
        <v>73</v>
      </c>
      <c r="C103" s="72"/>
      <c r="D103" s="72"/>
      <c r="E103" s="29"/>
      <c r="F103" s="29"/>
      <c r="G103" s="29"/>
      <c r="H103" s="29"/>
      <c r="I103" s="29"/>
      <c r="J103" s="29"/>
      <c r="K103" s="65">
        <f>E72</f>
        <v>20306</v>
      </c>
      <c r="L103" s="29"/>
      <c r="M103" s="73"/>
      <c r="N103" s="29"/>
      <c r="O103" s="6"/>
    </row>
    <row r="104" spans="1:15" ht="15.75">
      <c r="A104" s="28"/>
      <c r="B104" s="74" t="s">
        <v>74</v>
      </c>
      <c r="C104" s="72"/>
      <c r="D104" s="72"/>
      <c r="E104" s="29"/>
      <c r="F104" s="29"/>
      <c r="G104" s="29"/>
      <c r="H104" s="29"/>
      <c r="I104" s="29"/>
      <c r="J104" s="29"/>
      <c r="K104" s="65">
        <f>G88</f>
        <v>27596</v>
      </c>
      <c r="L104" s="29"/>
      <c r="M104" s="73"/>
      <c r="N104" s="29"/>
      <c r="O104" s="6"/>
    </row>
    <row r="105" spans="1:15" ht="15.75">
      <c r="A105" s="75"/>
      <c r="B105" s="29" t="s">
        <v>75</v>
      </c>
      <c r="C105" s="72"/>
      <c r="D105" s="72"/>
      <c r="E105" s="29"/>
      <c r="F105" s="29"/>
      <c r="G105" s="29"/>
      <c r="H105" s="29"/>
      <c r="I105" s="29"/>
      <c r="J105" s="29"/>
      <c r="K105" s="65">
        <f>-I68-I61</f>
        <v>-44714</v>
      </c>
      <c r="L105" s="29"/>
      <c r="M105" s="73"/>
      <c r="N105" s="29"/>
      <c r="O105" s="6"/>
    </row>
    <row r="106" spans="1:15" ht="15.75">
      <c r="A106" s="28"/>
      <c r="B106" s="29" t="s">
        <v>76</v>
      </c>
      <c r="C106" s="72"/>
      <c r="D106" s="72"/>
      <c r="E106" s="29"/>
      <c r="F106" s="29"/>
      <c r="G106" s="29"/>
      <c r="H106" s="29"/>
      <c r="I106" s="29"/>
      <c r="J106" s="29"/>
      <c r="K106" s="65">
        <v>0</v>
      </c>
      <c r="L106" s="65"/>
      <c r="M106" s="66"/>
      <c r="N106" s="29"/>
      <c r="O106" s="6"/>
    </row>
    <row r="107" spans="1:15" ht="15.75">
      <c r="A107" s="28"/>
      <c r="B107" s="29" t="s">
        <v>77</v>
      </c>
      <c r="C107" s="29"/>
      <c r="D107" s="29"/>
      <c r="E107" s="29"/>
      <c r="F107" s="29"/>
      <c r="G107" s="29"/>
      <c r="H107" s="29"/>
      <c r="I107" s="29"/>
      <c r="J107" s="29"/>
      <c r="K107" s="65">
        <v>0</v>
      </c>
      <c r="L107" s="65"/>
      <c r="M107" s="66"/>
      <c r="N107" s="29"/>
      <c r="O107" s="6"/>
    </row>
    <row r="108" spans="1:15" ht="15.75">
      <c r="A108" s="28"/>
      <c r="B108" s="29" t="s">
        <v>78</v>
      </c>
      <c r="C108" s="29"/>
      <c r="D108" s="29"/>
      <c r="E108" s="29"/>
      <c r="F108" s="29"/>
      <c r="G108" s="29"/>
      <c r="H108" s="29"/>
      <c r="I108" s="29"/>
      <c r="J108" s="29"/>
      <c r="K108" s="65">
        <v>0</v>
      </c>
      <c r="L108" s="65"/>
      <c r="M108" s="66"/>
      <c r="N108" s="29"/>
      <c r="O108" s="6"/>
    </row>
    <row r="109" spans="1:15" ht="15.75">
      <c r="A109" s="28"/>
      <c r="B109" s="29" t="s">
        <v>79</v>
      </c>
      <c r="C109" s="29"/>
      <c r="D109" s="29"/>
      <c r="E109" s="29"/>
      <c r="F109" s="29"/>
      <c r="G109" s="29"/>
      <c r="H109" s="29"/>
      <c r="I109" s="29"/>
      <c r="J109" s="29"/>
      <c r="K109" s="65">
        <v>0</v>
      </c>
      <c r="L109" s="65"/>
      <c r="M109" s="66"/>
      <c r="N109" s="29"/>
      <c r="O109" s="6"/>
    </row>
    <row r="110" spans="1:15" ht="15.75">
      <c r="A110" s="28"/>
      <c r="B110" s="29" t="s">
        <v>80</v>
      </c>
      <c r="C110" s="29"/>
      <c r="D110" s="29"/>
      <c r="E110" s="29"/>
      <c r="F110" s="29"/>
      <c r="G110" s="29"/>
      <c r="H110" s="29"/>
      <c r="I110" s="29"/>
      <c r="J110" s="29"/>
      <c r="K110" s="65">
        <v>0</v>
      </c>
      <c r="L110" s="65"/>
      <c r="M110" s="66"/>
      <c r="N110" s="29"/>
      <c r="O110" s="6"/>
    </row>
    <row r="111" spans="1:15" ht="15.75">
      <c r="A111" s="28"/>
      <c r="B111" s="29" t="s">
        <v>81</v>
      </c>
      <c r="C111" s="29"/>
      <c r="D111" s="29"/>
      <c r="E111" s="29"/>
      <c r="F111" s="29"/>
      <c r="G111" s="29"/>
      <c r="H111" s="29"/>
      <c r="I111" s="29"/>
      <c r="J111" s="29"/>
      <c r="K111" s="65">
        <v>0</v>
      </c>
      <c r="L111" s="65"/>
      <c r="M111" s="66"/>
      <c r="N111" s="29"/>
      <c r="O111" s="6"/>
    </row>
    <row r="112" spans="1:15" ht="15.75">
      <c r="A112" s="28"/>
      <c r="B112" s="29" t="s">
        <v>82</v>
      </c>
      <c r="C112" s="29"/>
      <c r="D112" s="29"/>
      <c r="E112" s="29"/>
      <c r="F112" s="29"/>
      <c r="G112" s="29"/>
      <c r="H112" s="29"/>
      <c r="I112" s="29"/>
      <c r="J112" s="29"/>
      <c r="K112" s="65">
        <f>SUM(K105:K111)</f>
        <v>-44714</v>
      </c>
      <c r="L112" s="65"/>
      <c r="M112" s="65">
        <f>SUM(M89:M101)</f>
        <v>-6885</v>
      </c>
      <c r="N112" s="29"/>
      <c r="O112" s="6"/>
    </row>
    <row r="113" spans="1:15" ht="15.75">
      <c r="A113" s="28"/>
      <c r="B113" s="29" t="s">
        <v>83</v>
      </c>
      <c r="C113" s="29"/>
      <c r="D113" s="29"/>
      <c r="E113" s="29"/>
      <c r="F113" s="29"/>
      <c r="G113" s="29"/>
      <c r="H113" s="29"/>
      <c r="I113" s="29"/>
      <c r="J113" s="29"/>
      <c r="K113" s="65">
        <f>SUM(K103:K111)+SUM(K98:K99)</f>
        <v>4772</v>
      </c>
      <c r="L113" s="65"/>
      <c r="M113" s="65">
        <f>M88+M112</f>
        <v>0</v>
      </c>
      <c r="N113" s="29"/>
      <c r="O113" s="6"/>
    </row>
    <row r="114" spans="1:15" ht="15.75">
      <c r="A114" s="28"/>
      <c r="B114" s="29"/>
      <c r="C114" s="29"/>
      <c r="D114" s="29"/>
      <c r="E114" s="29"/>
      <c r="F114" s="29"/>
      <c r="G114" s="29"/>
      <c r="H114" s="29"/>
      <c r="I114" s="29"/>
      <c r="J114" s="29"/>
      <c r="K114" s="65"/>
      <c r="L114" s="65"/>
      <c r="M114" s="65"/>
      <c r="N114" s="29"/>
      <c r="O114" s="6"/>
    </row>
    <row r="115" spans="1:15" ht="15.75">
      <c r="A115" s="7"/>
      <c r="B115" s="14"/>
      <c r="C115" s="9"/>
      <c r="D115" s="9"/>
      <c r="E115" s="9"/>
      <c r="F115" s="9"/>
      <c r="G115" s="9"/>
      <c r="H115" s="9"/>
      <c r="I115" s="9"/>
      <c r="J115" s="9"/>
      <c r="K115" s="68"/>
      <c r="L115" s="68"/>
      <c r="M115" s="68"/>
      <c r="N115" s="9"/>
      <c r="O115" s="6"/>
    </row>
    <row r="116" spans="1:15" ht="16.5" thickBot="1">
      <c r="A116" s="134"/>
      <c r="B116" s="135" t="str">
        <f>B53</f>
        <v>PASF1 INVESTOR REPORT QUARTER ENDING APRIL 2003</v>
      </c>
      <c r="C116" s="136"/>
      <c r="D116" s="136"/>
      <c r="E116" s="136"/>
      <c r="F116" s="136"/>
      <c r="G116" s="136"/>
      <c r="H116" s="136"/>
      <c r="I116" s="136"/>
      <c r="J116" s="136"/>
      <c r="K116" s="139"/>
      <c r="L116" s="139"/>
      <c r="M116" s="139"/>
      <c r="N116" s="138"/>
      <c r="O116" s="6"/>
    </row>
    <row r="117" spans="1:15" ht="15.75">
      <c r="A117" s="2"/>
      <c r="B117" s="5"/>
      <c r="C117" s="5"/>
      <c r="D117" s="5"/>
      <c r="E117" s="5"/>
      <c r="F117" s="5"/>
      <c r="G117" s="5"/>
      <c r="H117" s="5"/>
      <c r="I117" s="5"/>
      <c r="J117" s="5"/>
      <c r="K117" s="76"/>
      <c r="L117" s="76"/>
      <c r="M117" s="76"/>
      <c r="N117" s="5"/>
      <c r="O117" s="6"/>
    </row>
    <row r="118" spans="1:15" ht="15.75">
      <c r="A118" s="7"/>
      <c r="B118" s="9"/>
      <c r="C118" s="9"/>
      <c r="D118" s="9"/>
      <c r="E118" s="9"/>
      <c r="F118" s="9"/>
      <c r="G118" s="9"/>
      <c r="H118" s="9"/>
      <c r="I118" s="9"/>
      <c r="J118" s="9"/>
      <c r="K118" s="9"/>
      <c r="L118" s="9"/>
      <c r="M118" s="64"/>
      <c r="N118" s="9"/>
      <c r="O118" s="6"/>
    </row>
    <row r="119" spans="1:15" ht="15.75">
      <c r="A119" s="77"/>
      <c r="B119" s="78"/>
      <c r="C119" s="78"/>
      <c r="D119" s="78"/>
      <c r="E119" s="78"/>
      <c r="F119" s="78"/>
      <c r="G119" s="78"/>
      <c r="H119" s="78"/>
      <c r="I119" s="78"/>
      <c r="J119" s="78"/>
      <c r="K119" s="78"/>
      <c r="L119" s="78"/>
      <c r="M119" s="79"/>
      <c r="N119" s="78"/>
      <c r="O119" s="6"/>
    </row>
    <row r="120" spans="1:15" ht="15.75">
      <c r="A120" s="77"/>
      <c r="B120" s="80" t="s">
        <v>84</v>
      </c>
      <c r="C120" s="78"/>
      <c r="D120" s="78"/>
      <c r="E120" s="78"/>
      <c r="F120" s="78"/>
      <c r="G120" s="78"/>
      <c r="H120" s="78"/>
      <c r="I120" s="78"/>
      <c r="J120" s="78"/>
      <c r="K120" s="78"/>
      <c r="L120" s="78"/>
      <c r="M120" s="79"/>
      <c r="N120" s="81"/>
      <c r="O120" s="6"/>
    </row>
    <row r="121" spans="1:15" ht="15.75">
      <c r="A121" s="77"/>
      <c r="B121" s="78"/>
      <c r="C121" s="78"/>
      <c r="D121" s="78"/>
      <c r="E121" s="78"/>
      <c r="F121" s="78"/>
      <c r="G121" s="78"/>
      <c r="H121" s="78"/>
      <c r="I121" s="78"/>
      <c r="J121" s="78"/>
      <c r="K121" s="78"/>
      <c r="L121" s="78"/>
      <c r="M121" s="79"/>
      <c r="N121" s="78"/>
      <c r="O121" s="6"/>
    </row>
    <row r="122" spans="1:15" ht="15.75">
      <c r="A122" s="7"/>
      <c r="B122" s="158" t="s">
        <v>85</v>
      </c>
      <c r="C122" s="15"/>
      <c r="D122" s="15"/>
      <c r="E122" s="9"/>
      <c r="F122" s="9"/>
      <c r="G122" s="9"/>
      <c r="H122" s="9"/>
      <c r="I122" s="9"/>
      <c r="J122" s="9"/>
      <c r="K122" s="9"/>
      <c r="L122" s="9"/>
      <c r="M122" s="64"/>
      <c r="N122" s="9"/>
      <c r="O122" s="6"/>
    </row>
    <row r="123" spans="1:15" ht="15.75">
      <c r="A123" s="28"/>
      <c r="B123" s="29" t="s">
        <v>86</v>
      </c>
      <c r="C123" s="29"/>
      <c r="D123" s="29"/>
      <c r="E123" s="29"/>
      <c r="F123" s="29"/>
      <c r="G123" s="29"/>
      <c r="H123" s="29"/>
      <c r="I123" s="29"/>
      <c r="J123" s="29"/>
      <c r="K123" s="29"/>
      <c r="L123" s="29"/>
      <c r="M123" s="66">
        <v>5852</v>
      </c>
      <c r="N123" s="29"/>
      <c r="O123" s="6"/>
    </row>
    <row r="124" spans="1:15" ht="15.75">
      <c r="A124" s="28"/>
      <c r="B124" s="29" t="s">
        <v>87</v>
      </c>
      <c r="C124" s="29"/>
      <c r="D124" s="29"/>
      <c r="E124" s="29"/>
      <c r="F124" s="29"/>
      <c r="G124" s="29"/>
      <c r="H124" s="29"/>
      <c r="I124" s="29"/>
      <c r="J124" s="29"/>
      <c r="K124" s="29"/>
      <c r="L124" s="29"/>
      <c r="M124" s="66">
        <v>0</v>
      </c>
      <c r="N124" s="29"/>
      <c r="O124" s="6"/>
    </row>
    <row r="125" spans="1:15" ht="15.75">
      <c r="A125" s="28"/>
      <c r="B125" s="29" t="s">
        <v>88</v>
      </c>
      <c r="C125" s="29"/>
      <c r="D125" s="29"/>
      <c r="E125" s="29"/>
      <c r="F125" s="29"/>
      <c r="G125" s="29"/>
      <c r="H125" s="29"/>
      <c r="I125" s="29"/>
      <c r="J125" s="29"/>
      <c r="K125" s="29"/>
      <c r="L125" s="29"/>
      <c r="M125" s="66">
        <v>0</v>
      </c>
      <c r="N125" s="29"/>
      <c r="O125" s="6"/>
    </row>
    <row r="126" spans="1:15" ht="15.75">
      <c r="A126" s="28"/>
      <c r="B126" s="29" t="s">
        <v>89</v>
      </c>
      <c r="C126" s="29"/>
      <c r="D126" s="29"/>
      <c r="E126" s="29"/>
      <c r="F126" s="29"/>
      <c r="G126" s="29"/>
      <c r="H126" s="29"/>
      <c r="I126" s="29"/>
      <c r="J126" s="29"/>
      <c r="K126" s="29"/>
      <c r="L126" s="29"/>
      <c r="M126" s="66">
        <v>0</v>
      </c>
      <c r="N126" s="29"/>
      <c r="O126" s="6"/>
    </row>
    <row r="127" spans="1:15" ht="15.75">
      <c r="A127" s="28"/>
      <c r="B127" s="29" t="s">
        <v>90</v>
      </c>
      <c r="C127" s="29"/>
      <c r="D127" s="29"/>
      <c r="E127" s="29"/>
      <c r="F127" s="29"/>
      <c r="G127" s="29"/>
      <c r="H127" s="29"/>
      <c r="I127" s="29"/>
      <c r="J127" s="29"/>
      <c r="K127" s="29"/>
      <c r="L127" s="29"/>
      <c r="M127" s="66">
        <v>0</v>
      </c>
      <c r="N127" s="29"/>
      <c r="O127" s="6"/>
    </row>
    <row r="128" spans="1:15" ht="15.75">
      <c r="A128" s="28"/>
      <c r="B128" s="29" t="s">
        <v>91</v>
      </c>
      <c r="C128" s="29"/>
      <c r="D128" s="29"/>
      <c r="E128" s="29"/>
      <c r="F128" s="29"/>
      <c r="G128" s="29"/>
      <c r="H128" s="29"/>
      <c r="I128" s="29"/>
      <c r="J128" s="29"/>
      <c r="K128" s="29"/>
      <c r="L128" s="29"/>
      <c r="M128" s="66">
        <v>0</v>
      </c>
      <c r="N128" s="29"/>
      <c r="O128" s="6"/>
    </row>
    <row r="129" spans="1:15" ht="15.75">
      <c r="A129" s="28"/>
      <c r="B129" s="29" t="s">
        <v>66</v>
      </c>
      <c r="C129" s="29"/>
      <c r="D129" s="29"/>
      <c r="E129" s="29"/>
      <c r="F129" s="29"/>
      <c r="G129" s="29"/>
      <c r="H129" s="29"/>
      <c r="I129" s="29"/>
      <c r="J129" s="29"/>
      <c r="K129" s="29"/>
      <c r="L129" s="29"/>
      <c r="M129" s="66">
        <v>0</v>
      </c>
      <c r="N129" s="29"/>
      <c r="O129" s="6"/>
    </row>
    <row r="130" spans="1:15" ht="15.75">
      <c r="A130" s="28"/>
      <c r="B130" s="29" t="s">
        <v>67</v>
      </c>
      <c r="C130" s="29"/>
      <c r="D130" s="29"/>
      <c r="E130" s="29"/>
      <c r="F130" s="29"/>
      <c r="G130" s="29"/>
      <c r="H130" s="29"/>
      <c r="I130" s="29"/>
      <c r="J130" s="29"/>
      <c r="K130" s="29"/>
      <c r="L130" s="29"/>
      <c r="M130" s="66">
        <v>0</v>
      </c>
      <c r="N130" s="29"/>
      <c r="O130" s="6"/>
    </row>
    <row r="131" spans="1:15" ht="15.75">
      <c r="A131" s="28"/>
      <c r="B131" s="29" t="s">
        <v>92</v>
      </c>
      <c r="C131" s="29"/>
      <c r="D131" s="29"/>
      <c r="E131" s="29"/>
      <c r="F131" s="29"/>
      <c r="G131" s="29"/>
      <c r="H131" s="29"/>
      <c r="I131" s="29"/>
      <c r="J131" s="29"/>
      <c r="K131" s="29"/>
      <c r="L131" s="29"/>
      <c r="M131" s="66">
        <f>M123+M126</f>
        <v>5852</v>
      </c>
      <c r="N131" s="29"/>
      <c r="O131" s="6"/>
    </row>
    <row r="132" spans="1:15" ht="15.75">
      <c r="A132" s="28"/>
      <c r="B132" s="29"/>
      <c r="C132" s="29"/>
      <c r="D132" s="29"/>
      <c r="E132" s="29"/>
      <c r="F132" s="29"/>
      <c r="G132" s="29"/>
      <c r="H132" s="29"/>
      <c r="I132" s="29"/>
      <c r="J132" s="29"/>
      <c r="K132" s="29"/>
      <c r="L132" s="29"/>
      <c r="M132" s="82"/>
      <c r="N132" s="29"/>
      <c r="O132" s="6"/>
    </row>
    <row r="133" spans="1:15" ht="15.75">
      <c r="A133" s="7"/>
      <c r="B133" s="158" t="s">
        <v>50</v>
      </c>
      <c r="C133" s="9"/>
      <c r="D133" s="9"/>
      <c r="E133" s="9"/>
      <c r="F133" s="9"/>
      <c r="G133" s="9"/>
      <c r="H133" s="9"/>
      <c r="I133" s="9"/>
      <c r="J133" s="9"/>
      <c r="K133" s="9"/>
      <c r="L133" s="9"/>
      <c r="M133" s="64"/>
      <c r="N133" s="9"/>
      <c r="O133" s="6"/>
    </row>
    <row r="134" spans="1:15" ht="15.75">
      <c r="A134" s="28"/>
      <c r="B134" s="29" t="s">
        <v>93</v>
      </c>
      <c r="C134" s="83"/>
      <c r="D134" s="83"/>
      <c r="E134" s="29"/>
      <c r="F134" s="29"/>
      <c r="G134" s="29"/>
      <c r="H134" s="29"/>
      <c r="I134" s="29"/>
      <c r="J134" s="29"/>
      <c r="K134" s="29"/>
      <c r="L134" s="29"/>
      <c r="M134" s="66">
        <v>2926</v>
      </c>
      <c r="N134" s="29"/>
      <c r="O134" s="6"/>
    </row>
    <row r="135" spans="1:15" ht="15.75">
      <c r="A135" s="28"/>
      <c r="B135" s="29" t="s">
        <v>94</v>
      </c>
      <c r="C135" s="29"/>
      <c r="D135" s="29"/>
      <c r="E135" s="29"/>
      <c r="F135" s="29"/>
      <c r="G135" s="29"/>
      <c r="H135" s="29"/>
      <c r="I135" s="29"/>
      <c r="J135" s="29"/>
      <c r="K135" s="29"/>
      <c r="L135" s="29"/>
      <c r="M135" s="66">
        <v>2926</v>
      </c>
      <c r="N135" s="29"/>
      <c r="O135" s="6"/>
    </row>
    <row r="136" spans="1:15" ht="15.75">
      <c r="A136" s="28"/>
      <c r="B136" s="29" t="s">
        <v>95</v>
      </c>
      <c r="C136" s="29"/>
      <c r="D136" s="29"/>
      <c r="E136" s="29"/>
      <c r="F136" s="29"/>
      <c r="G136" s="29"/>
      <c r="H136" s="29"/>
      <c r="I136" s="29"/>
      <c r="J136" s="29"/>
      <c r="K136" s="29"/>
      <c r="L136" s="29"/>
      <c r="M136" s="66">
        <f>-M99</f>
        <v>0</v>
      </c>
      <c r="N136" s="29"/>
      <c r="O136" s="6"/>
    </row>
    <row r="137" spans="1:15" ht="15.75">
      <c r="A137" s="28"/>
      <c r="B137" s="29" t="s">
        <v>96</v>
      </c>
      <c r="C137" s="29"/>
      <c r="D137" s="29"/>
      <c r="E137" s="29"/>
      <c r="F137" s="29"/>
      <c r="G137" s="29"/>
      <c r="H137" s="29"/>
      <c r="I137" s="29"/>
      <c r="J137" s="29"/>
      <c r="K137" s="29"/>
      <c r="L137" s="29"/>
      <c r="M137" s="66">
        <f>M134-M135-M136</f>
        <v>0</v>
      </c>
      <c r="N137" s="29"/>
      <c r="O137" s="6"/>
    </row>
    <row r="138" spans="1:15" ht="15.75">
      <c r="A138" s="28"/>
      <c r="B138" s="29"/>
      <c r="C138" s="29"/>
      <c r="D138" s="29"/>
      <c r="E138" s="29"/>
      <c r="F138" s="29"/>
      <c r="G138" s="29"/>
      <c r="H138" s="29"/>
      <c r="I138" s="29"/>
      <c r="J138" s="29"/>
      <c r="K138" s="29"/>
      <c r="L138" s="29"/>
      <c r="M138" s="84"/>
      <c r="N138" s="29"/>
      <c r="O138" s="6"/>
    </row>
    <row r="139" spans="1:15" ht="15.75">
      <c r="A139" s="7"/>
      <c r="B139" s="158" t="s">
        <v>97</v>
      </c>
      <c r="C139" s="15"/>
      <c r="D139" s="15"/>
      <c r="E139" s="9"/>
      <c r="F139" s="9"/>
      <c r="G139" s="17" t="s">
        <v>178</v>
      </c>
      <c r="H139" s="17"/>
      <c r="I139" s="17" t="s">
        <v>181</v>
      </c>
      <c r="J139" s="9"/>
      <c r="K139" s="9"/>
      <c r="L139" s="9"/>
      <c r="M139" s="85"/>
      <c r="N139" s="9"/>
      <c r="O139" s="6"/>
    </row>
    <row r="140" spans="1:15" ht="15.75">
      <c r="A140" s="7"/>
      <c r="B140" s="15"/>
      <c r="C140" s="15"/>
      <c r="D140" s="15"/>
      <c r="E140" s="9"/>
      <c r="F140" s="9"/>
      <c r="G140" s="9"/>
      <c r="H140" s="9"/>
      <c r="I140" s="9"/>
      <c r="J140" s="9"/>
      <c r="K140" s="9"/>
      <c r="L140" s="9"/>
      <c r="M140" s="85"/>
      <c r="N140" s="9"/>
      <c r="O140" s="6"/>
    </row>
    <row r="141" spans="1:15" ht="15.75">
      <c r="A141" s="28"/>
      <c r="B141" s="29" t="s">
        <v>98</v>
      </c>
      <c r="C141" s="29"/>
      <c r="D141" s="29"/>
      <c r="E141" s="29"/>
      <c r="F141" s="29"/>
      <c r="G141" s="29">
        <v>0</v>
      </c>
      <c r="H141" s="29"/>
      <c r="I141" s="29">
        <v>0</v>
      </c>
      <c r="J141" s="29"/>
      <c r="K141" s="29"/>
      <c r="L141" s="29"/>
      <c r="M141" s="66">
        <v>0</v>
      </c>
      <c r="N141" s="29"/>
      <c r="O141" s="6"/>
    </row>
    <row r="142" spans="1:15" ht="15.75">
      <c r="A142" s="28"/>
      <c r="B142" s="29" t="s">
        <v>99</v>
      </c>
      <c r="C142" s="29"/>
      <c r="D142" s="29"/>
      <c r="E142" s="29"/>
      <c r="F142" s="29"/>
      <c r="G142" s="29">
        <v>126</v>
      </c>
      <c r="H142" s="29"/>
      <c r="I142" s="29">
        <v>1458</v>
      </c>
      <c r="J142" s="29"/>
      <c r="K142" s="29"/>
      <c r="L142" s="29"/>
      <c r="M142" s="66">
        <f>SUM(G142:I142)</f>
        <v>1584</v>
      </c>
      <c r="N142" s="29"/>
      <c r="O142" s="6"/>
    </row>
    <row r="143" spans="1:15" ht="15.75">
      <c r="A143" s="28"/>
      <c r="B143" s="29" t="s">
        <v>100</v>
      </c>
      <c r="C143" s="29"/>
      <c r="D143" s="29"/>
      <c r="E143" s="29"/>
      <c r="F143" s="29"/>
      <c r="G143" s="29"/>
      <c r="H143" s="29"/>
      <c r="I143" s="86"/>
      <c r="J143" s="29"/>
      <c r="K143" s="29"/>
      <c r="L143" s="29"/>
      <c r="M143" s="66">
        <f>M98</f>
        <v>-1584</v>
      </c>
      <c r="N143" s="29"/>
      <c r="O143" s="6"/>
    </row>
    <row r="144" spans="1:15" ht="15.75">
      <c r="A144" s="28"/>
      <c r="B144" s="29" t="s">
        <v>101</v>
      </c>
      <c r="C144" s="29"/>
      <c r="D144" s="29"/>
      <c r="E144" s="29"/>
      <c r="F144" s="29"/>
      <c r="G144" s="29"/>
      <c r="H144" s="29"/>
      <c r="I144" s="29"/>
      <c r="J144" s="29"/>
      <c r="K144" s="29"/>
      <c r="L144" s="29"/>
      <c r="M144" s="66">
        <f>M143+M142</f>
        <v>0</v>
      </c>
      <c r="N144" s="29"/>
      <c r="O144" s="6"/>
    </row>
    <row r="145" spans="1:15" ht="15.75">
      <c r="A145" s="28"/>
      <c r="B145" s="29"/>
      <c r="C145" s="29"/>
      <c r="D145" s="29"/>
      <c r="E145" s="29"/>
      <c r="F145" s="29"/>
      <c r="G145" s="29"/>
      <c r="H145" s="29"/>
      <c r="I145" s="29"/>
      <c r="J145" s="29"/>
      <c r="K145" s="29"/>
      <c r="L145" s="29"/>
      <c r="M145" s="82"/>
      <c r="N145" s="29"/>
      <c r="O145" s="6"/>
    </row>
    <row r="146" spans="1:15" ht="15.75">
      <c r="A146" s="7"/>
      <c r="B146" s="9"/>
      <c r="C146" s="9"/>
      <c r="D146" s="9"/>
      <c r="E146" s="9"/>
      <c r="F146" s="9"/>
      <c r="G146" s="9"/>
      <c r="H146" s="9"/>
      <c r="I146" s="9"/>
      <c r="J146" s="9"/>
      <c r="K146" s="9"/>
      <c r="L146" s="9"/>
      <c r="M146" s="64"/>
      <c r="N146" s="9"/>
      <c r="O146" s="6"/>
    </row>
    <row r="147" spans="1:15" ht="15.75">
      <c r="A147" s="7"/>
      <c r="B147" s="158" t="s">
        <v>102</v>
      </c>
      <c r="C147" s="15"/>
      <c r="D147" s="15"/>
      <c r="E147" s="9"/>
      <c r="F147" s="9"/>
      <c r="G147" s="9"/>
      <c r="H147" s="9"/>
      <c r="I147" s="9"/>
      <c r="J147" s="9"/>
      <c r="K147" s="9"/>
      <c r="L147" s="9"/>
      <c r="M147" s="64"/>
      <c r="N147" s="9"/>
      <c r="O147" s="6"/>
    </row>
    <row r="148" spans="1:18" ht="15.75">
      <c r="A148" s="28"/>
      <c r="B148" s="29" t="s">
        <v>103</v>
      </c>
      <c r="C148" s="87"/>
      <c r="D148" s="87"/>
      <c r="E148" s="29"/>
      <c r="F148" s="29"/>
      <c r="G148" s="29"/>
      <c r="H148" s="29"/>
      <c r="I148" s="29"/>
      <c r="J148" s="29"/>
      <c r="K148" s="29"/>
      <c r="L148" s="29"/>
      <c r="M148" s="66">
        <f>M68+M61</f>
        <v>186100</v>
      </c>
      <c r="N148" s="29"/>
      <c r="O148" s="6"/>
      <c r="R148" s="132"/>
    </row>
    <row r="149" spans="1:15" ht="15.75">
      <c r="A149" s="28"/>
      <c r="B149" s="29" t="s">
        <v>104</v>
      </c>
      <c r="C149" s="87"/>
      <c r="D149" s="87"/>
      <c r="E149" s="29"/>
      <c r="F149" s="29"/>
      <c r="G149" s="29"/>
      <c r="H149" s="29"/>
      <c r="I149" s="29"/>
      <c r="J149" s="29"/>
      <c r="K149" s="29"/>
      <c r="L149" s="29"/>
      <c r="M149" s="66">
        <f>M72</f>
        <v>3188</v>
      </c>
      <c r="N149" s="29"/>
      <c r="O149" s="6"/>
    </row>
    <row r="150" spans="1:15" ht="15.75">
      <c r="A150" s="28"/>
      <c r="B150" s="29" t="s">
        <v>50</v>
      </c>
      <c r="C150" s="87"/>
      <c r="D150" s="87"/>
      <c r="E150" s="29"/>
      <c r="F150" s="29"/>
      <c r="G150" s="29"/>
      <c r="H150" s="29"/>
      <c r="I150" s="29"/>
      <c r="J150" s="29"/>
      <c r="K150" s="29"/>
      <c r="L150" s="29"/>
      <c r="M150" s="66">
        <f>M71</f>
        <v>2926</v>
      </c>
      <c r="N150" s="29"/>
      <c r="O150" s="6"/>
    </row>
    <row r="151" spans="1:16" ht="15.75">
      <c r="A151" s="28"/>
      <c r="B151" s="29" t="s">
        <v>105</v>
      </c>
      <c r="C151" s="87"/>
      <c r="D151" s="87"/>
      <c r="E151" s="29"/>
      <c r="F151" s="29"/>
      <c r="G151" s="29"/>
      <c r="H151" s="29"/>
      <c r="I151" s="29"/>
      <c r="J151" s="29"/>
      <c r="K151" s="29"/>
      <c r="L151" s="29"/>
      <c r="M151" s="66">
        <f>M74</f>
        <v>-95</v>
      </c>
      <c r="N151" s="29"/>
      <c r="O151" s="6"/>
      <c r="P151" s="132"/>
    </row>
    <row r="152" spans="1:15" ht="15.75">
      <c r="A152" s="28"/>
      <c r="B152" s="29" t="s">
        <v>106</v>
      </c>
      <c r="C152" s="87"/>
      <c r="D152" s="87"/>
      <c r="E152" s="29"/>
      <c r="F152" s="29"/>
      <c r="G152" s="29"/>
      <c r="H152" s="29"/>
      <c r="I152" s="29"/>
      <c r="J152" s="29"/>
      <c r="K152" s="29"/>
      <c r="L152" s="29"/>
      <c r="M152" s="66">
        <f>M73</f>
        <v>5805</v>
      </c>
      <c r="N152" s="29"/>
      <c r="O152" s="6"/>
    </row>
    <row r="153" spans="1:15" ht="15.75">
      <c r="A153" s="28"/>
      <c r="B153" s="29" t="s">
        <v>107</v>
      </c>
      <c r="C153" s="87"/>
      <c r="D153" s="87"/>
      <c r="E153" s="29"/>
      <c r="F153" s="29"/>
      <c r="G153" s="29"/>
      <c r="H153" s="29"/>
      <c r="I153" s="29"/>
      <c r="J153" s="29"/>
      <c r="K153" s="29"/>
      <c r="L153" s="29"/>
      <c r="M153" s="66">
        <f>SUM(M148:M152)</f>
        <v>197924</v>
      </c>
      <c r="N153" s="29"/>
      <c r="O153" s="133"/>
    </row>
    <row r="154" spans="1:19" ht="15.75">
      <c r="A154" s="28"/>
      <c r="B154" s="29" t="s">
        <v>108</v>
      </c>
      <c r="C154" s="87"/>
      <c r="D154" s="87"/>
      <c r="E154" s="29"/>
      <c r="F154" s="29"/>
      <c r="G154" s="29"/>
      <c r="H154" s="29"/>
      <c r="I154" s="29"/>
      <c r="J154" s="29"/>
      <c r="K154" s="29"/>
      <c r="L154" s="29"/>
      <c r="M154" s="66">
        <f>M30</f>
        <v>194998</v>
      </c>
      <c r="N154" s="29"/>
      <c r="O154" s="6"/>
      <c r="P154" s="132"/>
      <c r="R154" s="132"/>
      <c r="S154" s="132"/>
    </row>
    <row r="155" spans="1:15" ht="15.75">
      <c r="A155" s="28"/>
      <c r="B155" s="29"/>
      <c r="C155" s="29"/>
      <c r="D155" s="29"/>
      <c r="E155" s="29"/>
      <c r="F155" s="29"/>
      <c r="G155" s="29"/>
      <c r="H155" s="29"/>
      <c r="I155" s="29"/>
      <c r="J155" s="29"/>
      <c r="K155" s="29"/>
      <c r="L155" s="29"/>
      <c r="M155" s="82"/>
      <c r="N155" s="29"/>
      <c r="O155" s="6"/>
    </row>
    <row r="156" spans="1:15" ht="15.75">
      <c r="A156" s="7"/>
      <c r="B156" s="9"/>
      <c r="C156" s="9"/>
      <c r="D156" s="9"/>
      <c r="E156" s="9"/>
      <c r="F156" s="9"/>
      <c r="G156" s="9"/>
      <c r="H156" s="9"/>
      <c r="I156" s="25"/>
      <c r="J156" s="9"/>
      <c r="K156" s="25"/>
      <c r="L156" s="9"/>
      <c r="M156" s="64"/>
      <c r="N156" s="9"/>
      <c r="O156" s="6"/>
    </row>
    <row r="157" spans="1:15" ht="15.75">
      <c r="A157" s="7"/>
      <c r="B157" s="158" t="s">
        <v>109</v>
      </c>
      <c r="C157" s="144"/>
      <c r="D157" s="144"/>
      <c r="E157" s="144"/>
      <c r="F157" s="144"/>
      <c r="G157" s="144"/>
      <c r="H157" s="144"/>
      <c r="I157" s="159" t="s">
        <v>205</v>
      </c>
      <c r="J157" s="159"/>
      <c r="K157" s="159" t="s">
        <v>210</v>
      </c>
      <c r="L157" s="144"/>
      <c r="M157" s="160" t="s">
        <v>192</v>
      </c>
      <c r="N157" s="9"/>
      <c r="O157" s="6"/>
    </row>
    <row r="158" spans="1:15" ht="15.75">
      <c r="A158" s="28"/>
      <c r="B158" s="29" t="s">
        <v>110</v>
      </c>
      <c r="C158" s="29"/>
      <c r="D158" s="29"/>
      <c r="E158" s="29"/>
      <c r="F158" s="29"/>
      <c r="G158" s="29"/>
      <c r="H158" s="29"/>
      <c r="I158" s="66"/>
      <c r="J158" s="29"/>
      <c r="K158" s="53"/>
      <c r="L158" s="29"/>
      <c r="M158" s="66"/>
      <c r="N158" s="29"/>
      <c r="O158" s="6"/>
    </row>
    <row r="159" spans="1:15" ht="15.75">
      <c r="A159" s="28"/>
      <c r="B159" s="29" t="s">
        <v>111</v>
      </c>
      <c r="C159" s="29"/>
      <c r="D159" s="29"/>
      <c r="E159" s="29"/>
      <c r="F159" s="29"/>
      <c r="G159" s="29"/>
      <c r="H159" s="29"/>
      <c r="I159" s="66">
        <v>0</v>
      </c>
      <c r="J159" s="29"/>
      <c r="K159" s="29"/>
      <c r="L159" s="29"/>
      <c r="M159" s="66" t="s">
        <v>224</v>
      </c>
      <c r="N159" s="29"/>
      <c r="O159" s="6"/>
    </row>
    <row r="160" spans="1:15" ht="15.75">
      <c r="A160" s="28"/>
      <c r="B160" s="29" t="s">
        <v>112</v>
      </c>
      <c r="C160" s="29"/>
      <c r="D160" s="29"/>
      <c r="E160" s="29"/>
      <c r="F160" s="29"/>
      <c r="G160" s="29"/>
      <c r="H160" s="29"/>
      <c r="I160" s="66">
        <v>40</v>
      </c>
      <c r="J160" s="29"/>
      <c r="K160" s="29"/>
      <c r="L160" s="29"/>
      <c r="M160" s="66" t="s">
        <v>224</v>
      </c>
      <c r="N160" s="29"/>
      <c r="O160" s="6"/>
    </row>
    <row r="161" spans="1:15" ht="15.75">
      <c r="A161" s="28"/>
      <c r="B161" s="29" t="s">
        <v>113</v>
      </c>
      <c r="C161" s="29"/>
      <c r="D161" s="29"/>
      <c r="E161" s="29"/>
      <c r="F161" s="29"/>
      <c r="G161" s="29"/>
      <c r="H161" s="29"/>
      <c r="I161" s="66">
        <f>SUM(I159:I160)</f>
        <v>40</v>
      </c>
      <c r="J161" s="29"/>
      <c r="K161" s="66"/>
      <c r="L161" s="29"/>
      <c r="M161" s="66" t="s">
        <v>224</v>
      </c>
      <c r="N161" s="29"/>
      <c r="O161" s="6"/>
    </row>
    <row r="162" spans="1:15" ht="15.75">
      <c r="A162" s="28"/>
      <c r="B162" s="29" t="s">
        <v>114</v>
      </c>
      <c r="C162" s="29"/>
      <c r="D162" s="29"/>
      <c r="E162" s="29"/>
      <c r="F162" s="29"/>
      <c r="G162" s="29"/>
      <c r="H162" s="29"/>
      <c r="I162" s="66"/>
      <c r="J162" s="29"/>
      <c r="K162" s="53"/>
      <c r="L162" s="29"/>
      <c r="M162" s="66"/>
      <c r="N162" s="29"/>
      <c r="O162" s="6"/>
    </row>
    <row r="163" spans="1:15" ht="15.75">
      <c r="A163" s="28"/>
      <c r="B163" s="29"/>
      <c r="C163" s="29"/>
      <c r="D163" s="29"/>
      <c r="E163" s="29"/>
      <c r="F163" s="29"/>
      <c r="G163" s="29"/>
      <c r="H163" s="29"/>
      <c r="I163" s="29"/>
      <c r="J163" s="29"/>
      <c r="K163" s="29"/>
      <c r="L163" s="29"/>
      <c r="M163" s="82"/>
      <c r="N163" s="29"/>
      <c r="O163" s="6"/>
    </row>
    <row r="164" spans="1:15" ht="15.75">
      <c r="A164" s="7"/>
      <c r="B164" s="9"/>
      <c r="C164" s="9"/>
      <c r="D164" s="9"/>
      <c r="E164" s="9"/>
      <c r="F164" s="9"/>
      <c r="G164" s="9"/>
      <c r="H164" s="9"/>
      <c r="I164" s="9"/>
      <c r="J164" s="9"/>
      <c r="K164" s="9"/>
      <c r="L164" s="9"/>
      <c r="M164" s="64"/>
      <c r="N164" s="9"/>
      <c r="O164" s="6"/>
    </row>
    <row r="165" spans="1:15" ht="15.75">
      <c r="A165" s="7"/>
      <c r="B165" s="158" t="s">
        <v>115</v>
      </c>
      <c r="C165" s="15"/>
      <c r="D165" s="15"/>
      <c r="E165" s="9"/>
      <c r="F165" s="9"/>
      <c r="G165" s="9"/>
      <c r="H165" s="9"/>
      <c r="I165" s="9"/>
      <c r="J165" s="9"/>
      <c r="K165" s="9"/>
      <c r="L165" s="9"/>
      <c r="M165" s="88"/>
      <c r="N165" s="9"/>
      <c r="O165" s="6"/>
    </row>
    <row r="166" spans="1:15" ht="15.75">
      <c r="A166" s="28"/>
      <c r="B166" s="29" t="s">
        <v>116</v>
      </c>
      <c r="C166" s="29"/>
      <c r="D166" s="29"/>
      <c r="E166" s="29"/>
      <c r="F166" s="29"/>
      <c r="G166" s="29"/>
      <c r="H166" s="29"/>
      <c r="I166" s="29"/>
      <c r="J166" s="29"/>
      <c r="K166" s="29"/>
      <c r="L166" s="29"/>
      <c r="M166" s="73">
        <f>(M88+M90+M91+M93)/-M92</f>
        <v>3.9157509157509156</v>
      </c>
      <c r="N166" s="29" t="s">
        <v>225</v>
      </c>
      <c r="O166" s="6"/>
    </row>
    <row r="167" spans="1:15" ht="15.75">
      <c r="A167" s="28"/>
      <c r="B167" s="29" t="s">
        <v>117</v>
      </c>
      <c r="C167" s="29"/>
      <c r="D167" s="29"/>
      <c r="E167" s="29"/>
      <c r="F167" s="29"/>
      <c r="G167" s="29"/>
      <c r="H167" s="29"/>
      <c r="I167" s="29"/>
      <c r="J167" s="29"/>
      <c r="K167" s="29"/>
      <c r="L167" s="29"/>
      <c r="M167" s="89">
        <v>2.9</v>
      </c>
      <c r="N167" s="29" t="s">
        <v>225</v>
      </c>
      <c r="O167" s="6"/>
    </row>
    <row r="168" spans="1:15" ht="15.75">
      <c r="A168" s="28"/>
      <c r="B168" s="29" t="s">
        <v>118</v>
      </c>
      <c r="C168" s="29"/>
      <c r="D168" s="29"/>
      <c r="E168" s="29"/>
      <c r="F168" s="29"/>
      <c r="G168" s="29"/>
      <c r="H168" s="29"/>
      <c r="I168" s="29"/>
      <c r="J168" s="29"/>
      <c r="K168" s="29"/>
      <c r="L168" s="29"/>
      <c r="M168" s="73">
        <f>(M88+M90+M91+M92+M93+M94)/-M95</f>
        <v>26.803370786516854</v>
      </c>
      <c r="N168" s="29" t="s">
        <v>225</v>
      </c>
      <c r="O168" s="6"/>
    </row>
    <row r="169" spans="1:15" ht="15.75">
      <c r="A169" s="28"/>
      <c r="B169" s="29" t="s">
        <v>119</v>
      </c>
      <c r="C169" s="29"/>
      <c r="D169" s="29"/>
      <c r="E169" s="29"/>
      <c r="F169" s="29"/>
      <c r="G169" s="29"/>
      <c r="H169" s="29"/>
      <c r="I169" s="29"/>
      <c r="J169" s="29"/>
      <c r="K169" s="29"/>
      <c r="L169" s="29"/>
      <c r="M169" s="90">
        <v>17.77</v>
      </c>
      <c r="N169" s="29" t="s">
        <v>225</v>
      </c>
      <c r="O169" s="6"/>
    </row>
    <row r="170" spans="1:15" ht="15.75">
      <c r="A170" s="28"/>
      <c r="B170" s="29" t="s">
        <v>120</v>
      </c>
      <c r="C170" s="29"/>
      <c r="D170" s="29"/>
      <c r="E170" s="29"/>
      <c r="F170" s="29"/>
      <c r="G170" s="29"/>
      <c r="H170" s="29"/>
      <c r="I170" s="29"/>
      <c r="J170" s="29"/>
      <c r="K170" s="29"/>
      <c r="L170" s="29"/>
      <c r="M170" s="73">
        <f>(M88+M90+M91+M92+M93+M94+M95)/-M96</f>
        <v>35.8828125</v>
      </c>
      <c r="N170" s="29" t="s">
        <v>225</v>
      </c>
      <c r="O170" s="6"/>
    </row>
    <row r="171" spans="1:15" ht="15.75">
      <c r="A171" s="28"/>
      <c r="B171" s="29" t="s">
        <v>121</v>
      </c>
      <c r="C171" s="29"/>
      <c r="D171" s="29"/>
      <c r="E171" s="29"/>
      <c r="F171" s="29"/>
      <c r="G171" s="29"/>
      <c r="H171" s="29"/>
      <c r="I171" s="29"/>
      <c r="J171" s="29"/>
      <c r="K171" s="29"/>
      <c r="L171" s="29"/>
      <c r="M171" s="89">
        <v>24.05</v>
      </c>
      <c r="N171" s="29" t="s">
        <v>225</v>
      </c>
      <c r="O171" s="6"/>
    </row>
    <row r="172" spans="1:15" ht="15.75">
      <c r="A172" s="28"/>
      <c r="B172" s="29"/>
      <c r="C172" s="29"/>
      <c r="D172" s="29"/>
      <c r="E172" s="29"/>
      <c r="F172" s="29"/>
      <c r="G172" s="29"/>
      <c r="H172" s="29"/>
      <c r="I172" s="29"/>
      <c r="J172" s="29"/>
      <c r="K172" s="29"/>
      <c r="L172" s="29"/>
      <c r="M172" s="29"/>
      <c r="N172" s="29"/>
      <c r="O172" s="6"/>
    </row>
    <row r="173" spans="1:15" ht="15.75">
      <c r="A173" s="7"/>
      <c r="B173" s="9"/>
      <c r="C173" s="9"/>
      <c r="D173" s="9"/>
      <c r="E173" s="9"/>
      <c r="F173" s="9"/>
      <c r="G173" s="9"/>
      <c r="H173" s="9"/>
      <c r="I173" s="9"/>
      <c r="J173" s="9"/>
      <c r="K173" s="9"/>
      <c r="L173" s="9"/>
      <c r="M173" s="9"/>
      <c r="N173" s="9"/>
      <c r="O173" s="6"/>
    </row>
    <row r="174" spans="1:15" ht="16.5" thickBot="1">
      <c r="A174" s="134"/>
      <c r="B174" s="135" t="str">
        <f>B116</f>
        <v>PASF1 INVESTOR REPORT QUARTER ENDING APRIL 2003</v>
      </c>
      <c r="C174" s="136"/>
      <c r="D174" s="136"/>
      <c r="E174" s="136"/>
      <c r="F174" s="136"/>
      <c r="G174" s="136"/>
      <c r="H174" s="136"/>
      <c r="I174" s="136"/>
      <c r="J174" s="136"/>
      <c r="K174" s="136"/>
      <c r="L174" s="136"/>
      <c r="M174" s="136"/>
      <c r="N174" s="138"/>
      <c r="O174" s="6"/>
    </row>
    <row r="175" spans="1:15" ht="15.75">
      <c r="A175" s="2"/>
      <c r="B175" s="91"/>
      <c r="C175" s="91"/>
      <c r="D175" s="91"/>
      <c r="E175" s="91"/>
      <c r="F175" s="91"/>
      <c r="G175" s="91"/>
      <c r="H175" s="91"/>
      <c r="I175" s="91"/>
      <c r="J175" s="91"/>
      <c r="K175" s="91"/>
      <c r="L175" s="91"/>
      <c r="M175" s="91"/>
      <c r="N175" s="91"/>
      <c r="O175" s="6"/>
    </row>
    <row r="176" spans="1:15" ht="15.75">
      <c r="A176" s="92"/>
      <c r="B176" s="63" t="s">
        <v>122</v>
      </c>
      <c r="C176" s="93"/>
      <c r="D176" s="93"/>
      <c r="E176" s="93" t="s">
        <v>178</v>
      </c>
      <c r="F176" s="93"/>
      <c r="G176" s="94" t="s">
        <v>181</v>
      </c>
      <c r="H176" s="94"/>
      <c r="I176" s="94"/>
      <c r="J176" s="22"/>
      <c r="K176" s="22">
        <v>37741</v>
      </c>
      <c r="L176" s="18"/>
      <c r="M176" s="18"/>
      <c r="N176" s="9"/>
      <c r="O176" s="6"/>
    </row>
    <row r="177" spans="1:15" ht="15.75">
      <c r="A177" s="95"/>
      <c r="B177" s="74" t="s">
        <v>123</v>
      </c>
      <c r="C177" s="96"/>
      <c r="D177" s="96"/>
      <c r="E177" s="97">
        <v>0.12505</v>
      </c>
      <c r="F177" s="96"/>
      <c r="G177" s="97">
        <v>0.13752</v>
      </c>
      <c r="H177" s="86"/>
      <c r="I177" s="86"/>
      <c r="J177" s="86"/>
      <c r="K177" s="97">
        <v>0.13157</v>
      </c>
      <c r="L177" s="29"/>
      <c r="M177" s="29"/>
      <c r="N177" s="29"/>
      <c r="O177" s="6"/>
    </row>
    <row r="178" spans="1:15" ht="15.75">
      <c r="A178" s="95"/>
      <c r="B178" s="74" t="s">
        <v>124</v>
      </c>
      <c r="C178" s="96"/>
      <c r="D178" s="96"/>
      <c r="E178" s="97"/>
      <c r="F178" s="96"/>
      <c r="G178" s="97"/>
      <c r="H178" s="86"/>
      <c r="I178" s="86"/>
      <c r="J178" s="86"/>
      <c r="K178" s="97">
        <v>0.0654</v>
      </c>
      <c r="L178" s="97"/>
      <c r="M178" s="29"/>
      <c r="N178" s="29"/>
      <c r="O178" s="6"/>
    </row>
    <row r="179" spans="1:15" ht="15.75">
      <c r="A179" s="95"/>
      <c r="B179" s="74" t="s">
        <v>125</v>
      </c>
      <c r="C179" s="96"/>
      <c r="D179" s="96"/>
      <c r="E179" s="96"/>
      <c r="F179" s="96"/>
      <c r="G179" s="96"/>
      <c r="H179" s="86"/>
      <c r="I179" s="86"/>
      <c r="J179" s="86"/>
      <c r="K179" s="97">
        <f>K177-K178</f>
        <v>0.06616999999999999</v>
      </c>
      <c r="L179" s="29"/>
      <c r="M179" s="29"/>
      <c r="N179" s="29"/>
      <c r="O179" s="6"/>
    </row>
    <row r="180" spans="1:15" ht="15.75">
      <c r="A180" s="95"/>
      <c r="B180" s="74" t="s">
        <v>126</v>
      </c>
      <c r="C180" s="96"/>
      <c r="D180" s="96"/>
      <c r="E180" s="98">
        <v>0.1013</v>
      </c>
      <c r="F180" s="98"/>
      <c r="G180" s="98">
        <v>0.111</v>
      </c>
      <c r="H180" s="86"/>
      <c r="I180" s="86"/>
      <c r="J180" s="86"/>
      <c r="K180" s="97">
        <v>0.10614</v>
      </c>
      <c r="L180" s="29"/>
      <c r="M180" s="29"/>
      <c r="N180" s="29"/>
      <c r="O180" s="6"/>
    </row>
    <row r="181" spans="1:15" ht="15.75">
      <c r="A181" s="95"/>
      <c r="B181" s="74" t="s">
        <v>127</v>
      </c>
      <c r="C181" s="96"/>
      <c r="D181" s="96"/>
      <c r="E181" s="96"/>
      <c r="F181" s="96"/>
      <c r="G181" s="96"/>
      <c r="H181" s="86"/>
      <c r="I181" s="86"/>
      <c r="J181" s="86"/>
      <c r="K181" s="97">
        <f>M32</f>
        <v>0.041823869988410145</v>
      </c>
      <c r="L181" s="29"/>
      <c r="M181" s="29"/>
      <c r="N181" s="29"/>
      <c r="O181" s="6"/>
    </row>
    <row r="182" spans="1:15" ht="15.75">
      <c r="A182" s="95"/>
      <c r="B182" s="74" t="s">
        <v>128</v>
      </c>
      <c r="C182" s="96"/>
      <c r="D182" s="96"/>
      <c r="E182" s="96"/>
      <c r="F182" s="96"/>
      <c r="G182" s="96"/>
      <c r="H182" s="86"/>
      <c r="I182" s="86"/>
      <c r="J182" s="86"/>
      <c r="K182" s="97">
        <f>K180-K181</f>
        <v>0.06431613001158985</v>
      </c>
      <c r="L182" s="29"/>
      <c r="M182" s="29"/>
      <c r="N182" s="29"/>
      <c r="O182" s="6"/>
    </row>
    <row r="183" spans="1:15" ht="15.75">
      <c r="A183" s="95"/>
      <c r="B183" s="74" t="s">
        <v>129</v>
      </c>
      <c r="C183" s="96"/>
      <c r="D183" s="96"/>
      <c r="E183" s="96"/>
      <c r="F183" s="96"/>
      <c r="G183" s="96"/>
      <c r="H183" s="86"/>
      <c r="I183" s="86"/>
      <c r="J183" s="86"/>
      <c r="K183" s="97" t="s">
        <v>211</v>
      </c>
      <c r="L183" s="29"/>
      <c r="M183" s="29"/>
      <c r="N183" s="29"/>
      <c r="O183" s="6"/>
    </row>
    <row r="184" spans="1:15" ht="15.75">
      <c r="A184" s="95"/>
      <c r="B184" s="74" t="s">
        <v>130</v>
      </c>
      <c r="C184" s="96"/>
      <c r="D184" s="96"/>
      <c r="E184" s="96"/>
      <c r="F184" s="96"/>
      <c r="G184" s="96"/>
      <c r="H184" s="86"/>
      <c r="I184" s="86"/>
      <c r="J184" s="86"/>
      <c r="K184" s="97" t="s">
        <v>212</v>
      </c>
      <c r="L184" s="29"/>
      <c r="M184" s="29"/>
      <c r="N184" s="29"/>
      <c r="O184" s="6"/>
    </row>
    <row r="185" spans="1:15" ht="15.75">
      <c r="A185" s="95"/>
      <c r="B185" s="74" t="s">
        <v>131</v>
      </c>
      <c r="C185" s="96"/>
      <c r="D185" s="96"/>
      <c r="E185" s="99">
        <v>9.94</v>
      </c>
      <c r="F185" s="96"/>
      <c r="G185" s="99">
        <v>3.91</v>
      </c>
      <c r="H185" s="86"/>
      <c r="I185" s="86"/>
      <c r="J185" s="86"/>
      <c r="K185" s="100">
        <v>6.791</v>
      </c>
      <c r="L185" s="29"/>
      <c r="M185" s="29"/>
      <c r="N185" s="29"/>
      <c r="O185" s="6"/>
    </row>
    <row r="186" spans="1:15" ht="15.75">
      <c r="A186" s="95"/>
      <c r="B186" s="74" t="s">
        <v>132</v>
      </c>
      <c r="C186" s="96"/>
      <c r="D186" s="96"/>
      <c r="E186" s="101">
        <v>12.528</v>
      </c>
      <c r="F186" s="99"/>
      <c r="G186" s="99">
        <v>3.01</v>
      </c>
      <c r="H186" s="86"/>
      <c r="I186" s="86"/>
      <c r="J186" s="86"/>
      <c r="K186" s="100">
        <v>7.8</v>
      </c>
      <c r="L186" s="29"/>
      <c r="M186" s="29"/>
      <c r="N186" s="29"/>
      <c r="O186" s="6"/>
    </row>
    <row r="187" spans="1:15" ht="15.75">
      <c r="A187" s="95"/>
      <c r="B187" s="74" t="s">
        <v>231</v>
      </c>
      <c r="C187" s="96"/>
      <c r="D187" s="96"/>
      <c r="E187" s="101"/>
      <c r="F187" s="99"/>
      <c r="G187" s="99"/>
      <c r="H187" s="86"/>
      <c r="I187" s="86"/>
      <c r="J187" s="86"/>
      <c r="K187" s="97">
        <v>0.0502</v>
      </c>
      <c r="L187" s="29"/>
      <c r="M187" s="29"/>
      <c r="N187" s="29"/>
      <c r="O187" s="6"/>
    </row>
    <row r="188" spans="1:15" ht="15.75">
      <c r="A188" s="95"/>
      <c r="B188" s="74" t="s">
        <v>232</v>
      </c>
      <c r="C188" s="96"/>
      <c r="D188" s="96"/>
      <c r="E188" s="101"/>
      <c r="F188" s="99"/>
      <c r="G188" s="99"/>
      <c r="H188" s="86"/>
      <c r="I188" s="86"/>
      <c r="J188" s="86"/>
      <c r="K188" s="97">
        <v>0.1849</v>
      </c>
      <c r="L188" s="29"/>
      <c r="M188" s="29"/>
      <c r="N188" s="29"/>
      <c r="O188" s="6"/>
    </row>
    <row r="189" spans="1:15" ht="15.75">
      <c r="A189" s="95"/>
      <c r="B189" s="74" t="s">
        <v>233</v>
      </c>
      <c r="C189" s="96"/>
      <c r="D189" s="96"/>
      <c r="E189" s="101"/>
      <c r="F189" s="99"/>
      <c r="G189" s="99"/>
      <c r="H189" s="86"/>
      <c r="I189" s="86"/>
      <c r="J189" s="86"/>
      <c r="K189" s="97">
        <v>0.1048</v>
      </c>
      <c r="L189" s="29"/>
      <c r="M189" s="29"/>
      <c r="N189" s="29"/>
      <c r="O189" s="6"/>
    </row>
    <row r="190" spans="1:15" ht="15.75">
      <c r="A190" s="95"/>
      <c r="B190" s="74" t="s">
        <v>234</v>
      </c>
      <c r="C190" s="96"/>
      <c r="D190" s="96"/>
      <c r="E190" s="101"/>
      <c r="F190" s="99"/>
      <c r="G190" s="99"/>
      <c r="H190" s="86"/>
      <c r="I190" s="86"/>
      <c r="J190" s="86"/>
      <c r="K190" s="97">
        <v>0.3201</v>
      </c>
      <c r="L190" s="29"/>
      <c r="M190" s="29"/>
      <c r="N190" s="29"/>
      <c r="O190" s="6"/>
    </row>
    <row r="191" spans="1:15" ht="15.75">
      <c r="A191" s="95"/>
      <c r="B191" s="74"/>
      <c r="C191" s="74"/>
      <c r="D191" s="74"/>
      <c r="E191" s="74"/>
      <c r="F191" s="74"/>
      <c r="G191" s="74"/>
      <c r="H191" s="29"/>
      <c r="I191" s="29"/>
      <c r="J191" s="37"/>
      <c r="K191" s="102"/>
      <c r="L191" s="29"/>
      <c r="M191" s="103"/>
      <c r="N191" s="29"/>
      <c r="O191" s="6"/>
    </row>
    <row r="192" spans="1:15" ht="15.75">
      <c r="A192" s="104"/>
      <c r="B192" s="17" t="s">
        <v>134</v>
      </c>
      <c r="C192" s="20"/>
      <c r="D192" s="20"/>
      <c r="E192" s="105"/>
      <c r="F192" s="20"/>
      <c r="G192" s="105"/>
      <c r="H192" s="20"/>
      <c r="I192" s="105"/>
      <c r="J192" s="20" t="s">
        <v>206</v>
      </c>
      <c r="K192" s="105" t="s">
        <v>213</v>
      </c>
      <c r="L192" s="18"/>
      <c r="M192" s="18"/>
      <c r="N192" s="9"/>
      <c r="O192" s="6"/>
    </row>
    <row r="193" spans="1:15" ht="15.75">
      <c r="A193" s="106"/>
      <c r="B193" s="74" t="s">
        <v>135</v>
      </c>
      <c r="C193" s="67"/>
      <c r="D193" s="67"/>
      <c r="E193" s="67"/>
      <c r="F193" s="67"/>
      <c r="G193" s="29"/>
      <c r="H193" s="29"/>
      <c r="I193" s="29"/>
      <c r="J193" s="29">
        <v>115</v>
      </c>
      <c r="K193" s="66">
        <v>602</v>
      </c>
      <c r="L193" s="66"/>
      <c r="M193" s="103"/>
      <c r="N193" s="107"/>
      <c r="O193" s="6"/>
    </row>
    <row r="194" spans="1:15" ht="15.75">
      <c r="A194" s="106"/>
      <c r="B194" s="74" t="s">
        <v>136</v>
      </c>
      <c r="C194" s="67"/>
      <c r="D194" s="67"/>
      <c r="E194" s="67"/>
      <c r="F194" s="67"/>
      <c r="G194" s="29"/>
      <c r="H194" s="29"/>
      <c r="I194" s="29"/>
      <c r="J194" s="29">
        <v>21</v>
      </c>
      <c r="K194" s="66">
        <v>146</v>
      </c>
      <c r="L194" s="66"/>
      <c r="M194" s="103"/>
      <c r="N194" s="107"/>
      <c r="O194" s="6"/>
    </row>
    <row r="195" spans="1:15" ht="15.75">
      <c r="A195" s="106"/>
      <c r="B195" s="74"/>
      <c r="C195" s="67"/>
      <c r="D195" s="67"/>
      <c r="E195" s="67"/>
      <c r="F195" s="67"/>
      <c r="G195" s="29"/>
      <c r="H195" s="29"/>
      <c r="I195" s="29"/>
      <c r="J195" s="29"/>
      <c r="K195" s="66"/>
      <c r="L195" s="66"/>
      <c r="M195" s="103"/>
      <c r="N195" s="107"/>
      <c r="O195" s="6"/>
    </row>
    <row r="196" spans="1:15" ht="15.75">
      <c r="A196" s="106"/>
      <c r="B196" s="74" t="s">
        <v>137</v>
      </c>
      <c r="C196" s="67"/>
      <c r="D196" s="67"/>
      <c r="E196" s="67"/>
      <c r="F196" s="67"/>
      <c r="G196" s="29"/>
      <c r="H196" s="29"/>
      <c r="I196" s="29"/>
      <c r="J196" s="29">
        <v>65</v>
      </c>
      <c r="K196" s="66">
        <v>896</v>
      </c>
      <c r="L196" s="66"/>
      <c r="M196" s="103"/>
      <c r="N196" s="107"/>
      <c r="O196" s="6"/>
    </row>
    <row r="197" spans="1:15" ht="15.75">
      <c r="A197" s="106"/>
      <c r="B197" s="74" t="s">
        <v>138</v>
      </c>
      <c r="C197" s="67"/>
      <c r="D197" s="67"/>
      <c r="E197" s="67"/>
      <c r="F197" s="67"/>
      <c r="G197" s="29"/>
      <c r="H197" s="29"/>
      <c r="I197" s="29"/>
      <c r="J197" s="29">
        <v>1</v>
      </c>
      <c r="K197" s="66">
        <v>25</v>
      </c>
      <c r="L197" s="66"/>
      <c r="M197" s="103"/>
      <c r="N197" s="107"/>
      <c r="O197" s="6"/>
    </row>
    <row r="198" spans="1:15" ht="15.75">
      <c r="A198" s="106"/>
      <c r="B198" s="74"/>
      <c r="C198" s="67"/>
      <c r="D198" s="67"/>
      <c r="E198" s="67"/>
      <c r="F198" s="67"/>
      <c r="G198" s="29"/>
      <c r="H198" s="29"/>
      <c r="I198" s="29"/>
      <c r="J198" s="29"/>
      <c r="K198" s="66"/>
      <c r="L198" s="66"/>
      <c r="M198" s="103"/>
      <c r="N198" s="107"/>
      <c r="O198" s="6"/>
    </row>
    <row r="199" spans="1:15" ht="15.75">
      <c r="A199" s="106"/>
      <c r="B199" s="162" t="s">
        <v>139</v>
      </c>
      <c r="C199" s="67"/>
      <c r="D199" s="67"/>
      <c r="E199" s="67"/>
      <c r="F199" s="67"/>
      <c r="G199" s="29"/>
      <c r="H199" s="29"/>
      <c r="I199" s="29"/>
      <c r="J199" s="29"/>
      <c r="K199" s="73" t="s">
        <v>214</v>
      </c>
      <c r="L199" s="29"/>
      <c r="M199" s="103"/>
      <c r="N199" s="107"/>
      <c r="O199" s="6"/>
    </row>
    <row r="200" spans="1:15" ht="15.75">
      <c r="A200" s="106"/>
      <c r="B200" s="162" t="s">
        <v>140</v>
      </c>
      <c r="C200" s="67"/>
      <c r="D200" s="67"/>
      <c r="E200" s="67"/>
      <c r="F200" s="67"/>
      <c r="G200" s="29"/>
      <c r="H200" s="29"/>
      <c r="I200" s="29"/>
      <c r="J200" s="29"/>
      <c r="K200" s="66">
        <f>-I72</f>
        <v>44714</v>
      </c>
      <c r="L200" s="29"/>
      <c r="M200" s="103"/>
      <c r="N200" s="107"/>
      <c r="O200" s="6"/>
    </row>
    <row r="201" spans="1:15" ht="15.75">
      <c r="A201" s="108"/>
      <c r="B201" s="162" t="s">
        <v>141</v>
      </c>
      <c r="C201" s="67"/>
      <c r="D201" s="67"/>
      <c r="E201" s="74"/>
      <c r="F201" s="74"/>
      <c r="G201" s="74"/>
      <c r="H201" s="29"/>
      <c r="I201" s="29"/>
      <c r="J201" s="29"/>
      <c r="K201" s="73"/>
      <c r="L201" s="29"/>
      <c r="M201" s="103"/>
      <c r="N201" s="109"/>
      <c r="O201" s="6"/>
    </row>
    <row r="202" spans="1:15" ht="15.75">
      <c r="A202" s="108"/>
      <c r="B202" s="74" t="s">
        <v>142</v>
      </c>
      <c r="C202" s="67"/>
      <c r="D202" s="67"/>
      <c r="E202" s="74"/>
      <c r="F202" s="74"/>
      <c r="G202" s="74"/>
      <c r="H202" s="29"/>
      <c r="I202" s="29"/>
      <c r="J202" s="29"/>
      <c r="K202" s="89">
        <f>I142</f>
        <v>1458</v>
      </c>
      <c r="L202" s="29"/>
      <c r="M202" s="103"/>
      <c r="N202" s="109"/>
      <c r="O202" s="6"/>
    </row>
    <row r="203" spans="1:15" ht="15.75">
      <c r="A203" s="108"/>
      <c r="B203" s="74" t="s">
        <v>143</v>
      </c>
      <c r="C203" s="67"/>
      <c r="D203" s="67"/>
      <c r="E203" s="74"/>
      <c r="F203" s="74"/>
      <c r="G203" s="74"/>
      <c r="H203" s="29"/>
      <c r="I203" s="29"/>
      <c r="J203" s="29"/>
      <c r="K203" s="89">
        <f>'Jan 2003'!K203+I142</f>
        <v>5213</v>
      </c>
      <c r="L203" s="29"/>
      <c r="M203" s="103"/>
      <c r="N203" s="109"/>
      <c r="O203" s="6"/>
    </row>
    <row r="204" spans="1:15" ht="15.75">
      <c r="A204" s="108"/>
      <c r="B204" s="74" t="s">
        <v>144</v>
      </c>
      <c r="C204" s="67"/>
      <c r="D204" s="67"/>
      <c r="E204" s="74"/>
      <c r="F204" s="74"/>
      <c r="G204" s="74"/>
      <c r="H204" s="29"/>
      <c r="I204" s="29"/>
      <c r="J204" s="29"/>
      <c r="K204" s="89">
        <f>39+13+24+37+79+95+96+27+47+27+200</f>
        <v>684</v>
      </c>
      <c r="L204" s="29"/>
      <c r="M204" s="103"/>
      <c r="N204" s="109"/>
      <c r="O204" s="6"/>
    </row>
    <row r="205" spans="1:15" ht="15.75">
      <c r="A205" s="108"/>
      <c r="B205" s="74"/>
      <c r="C205" s="67"/>
      <c r="D205" s="67"/>
      <c r="E205" s="74"/>
      <c r="F205" s="74"/>
      <c r="G205" s="74"/>
      <c r="H205" s="29"/>
      <c r="I205" s="29"/>
      <c r="J205" s="29"/>
      <c r="K205" s="89"/>
      <c r="L205" s="29"/>
      <c r="M205" s="103"/>
      <c r="N205" s="109"/>
      <c r="O205" s="6"/>
    </row>
    <row r="206" spans="1:15" ht="15.75">
      <c r="A206" s="106"/>
      <c r="B206" s="74" t="s">
        <v>145</v>
      </c>
      <c r="C206" s="67"/>
      <c r="D206" s="67"/>
      <c r="E206" s="67"/>
      <c r="F206" s="67"/>
      <c r="G206" s="67"/>
      <c r="H206" s="29"/>
      <c r="I206" s="29"/>
      <c r="J206" s="29"/>
      <c r="K206" s="66">
        <f>G142</f>
        <v>126</v>
      </c>
      <c r="L206" s="29"/>
      <c r="M206" s="103"/>
      <c r="N206" s="109"/>
      <c r="O206" s="6"/>
    </row>
    <row r="207" spans="1:15" ht="15.75">
      <c r="A207" s="106"/>
      <c r="B207" s="74" t="s">
        <v>146</v>
      </c>
      <c r="C207" s="67"/>
      <c r="D207" s="67"/>
      <c r="E207" s="67"/>
      <c r="F207" s="67"/>
      <c r="G207" s="67"/>
      <c r="H207" s="29"/>
      <c r="I207" s="29"/>
      <c r="J207" s="29"/>
      <c r="K207" s="66">
        <f>'Jan 2003'!K207+G142</f>
        <v>592</v>
      </c>
      <c r="L207" s="29"/>
      <c r="M207" s="103"/>
      <c r="N207" s="109"/>
      <c r="O207" s="6"/>
    </row>
    <row r="208" spans="1:15" ht="15.75">
      <c r="A208" s="106"/>
      <c r="B208" s="74" t="s">
        <v>144</v>
      </c>
      <c r="C208" s="67"/>
      <c r="D208" s="67"/>
      <c r="E208" s="67"/>
      <c r="F208" s="67"/>
      <c r="G208" s="67"/>
      <c r="H208" s="29"/>
      <c r="I208" s="29"/>
      <c r="J208" s="29"/>
      <c r="K208" s="66"/>
      <c r="L208" s="29"/>
      <c r="M208" s="103"/>
      <c r="N208" s="109"/>
      <c r="O208" s="6"/>
    </row>
    <row r="209" spans="1:15" ht="15.75">
      <c r="A209" s="106"/>
      <c r="B209" s="74"/>
      <c r="C209" s="67"/>
      <c r="D209" s="67"/>
      <c r="E209" s="67"/>
      <c r="F209" s="67"/>
      <c r="G209" s="67"/>
      <c r="H209" s="29"/>
      <c r="I209" s="29"/>
      <c r="J209" s="29"/>
      <c r="K209" s="66"/>
      <c r="L209" s="29"/>
      <c r="M209" s="103"/>
      <c r="N209" s="109"/>
      <c r="O209" s="6"/>
    </row>
    <row r="210" spans="1:15" ht="15.75">
      <c r="A210" s="108"/>
      <c r="B210" s="162" t="s">
        <v>147</v>
      </c>
      <c r="C210" s="67"/>
      <c r="D210" s="67"/>
      <c r="E210" s="74"/>
      <c r="F210" s="74"/>
      <c r="G210" s="74"/>
      <c r="H210" s="29"/>
      <c r="I210" s="29"/>
      <c r="J210" s="29"/>
      <c r="K210" s="110"/>
      <c r="L210" s="29"/>
      <c r="M210" s="103"/>
      <c r="N210" s="109"/>
      <c r="O210" s="6"/>
    </row>
    <row r="211" spans="1:15" ht="15.75">
      <c r="A211" s="108"/>
      <c r="B211" s="74" t="s">
        <v>148</v>
      </c>
      <c r="C211" s="67"/>
      <c r="D211" s="67"/>
      <c r="E211" s="74"/>
      <c r="F211" s="74"/>
      <c r="G211" s="74"/>
      <c r="H211" s="29"/>
      <c r="I211" s="29"/>
      <c r="J211" s="29"/>
      <c r="K211" s="110">
        <v>0</v>
      </c>
      <c r="L211" s="29"/>
      <c r="M211" s="103"/>
      <c r="N211" s="109"/>
      <c r="O211" s="6"/>
    </row>
    <row r="212" spans="1:15" ht="15.75">
      <c r="A212" s="106"/>
      <c r="B212" s="74" t="s">
        <v>149</v>
      </c>
      <c r="C212" s="67"/>
      <c r="D212" s="67"/>
      <c r="E212" s="111"/>
      <c r="F212" s="111"/>
      <c r="G212" s="112"/>
      <c r="H212" s="29"/>
      <c r="I212" s="29"/>
      <c r="J212" s="29"/>
      <c r="K212" s="110">
        <v>0</v>
      </c>
      <c r="L212" s="29"/>
      <c r="M212" s="103"/>
      <c r="N212" s="109"/>
      <c r="O212" s="6"/>
    </row>
    <row r="213" spans="1:15" ht="15.75">
      <c r="A213" s="106"/>
      <c r="B213" s="74" t="s">
        <v>150</v>
      </c>
      <c r="C213" s="67"/>
      <c r="D213" s="67"/>
      <c r="E213" s="111"/>
      <c r="F213" s="111"/>
      <c r="G213" s="112"/>
      <c r="H213" s="29"/>
      <c r="I213" s="29"/>
      <c r="J213" s="29"/>
      <c r="K213" s="110">
        <v>0</v>
      </c>
      <c r="L213" s="29"/>
      <c r="M213" s="103"/>
      <c r="N213" s="109"/>
      <c r="O213" s="6"/>
    </row>
    <row r="214" spans="1:15" ht="15.75">
      <c r="A214" s="106"/>
      <c r="B214" s="74" t="s">
        <v>151</v>
      </c>
      <c r="C214" s="67"/>
      <c r="D214" s="67"/>
      <c r="E214" s="113"/>
      <c r="F214" s="111"/>
      <c r="G214" s="112"/>
      <c r="H214" s="29"/>
      <c r="I214" s="29"/>
      <c r="J214" s="29"/>
      <c r="K214" s="110">
        <v>0</v>
      </c>
      <c r="L214" s="29"/>
      <c r="M214" s="103"/>
      <c r="N214" s="109"/>
      <c r="O214" s="6"/>
    </row>
    <row r="215" spans="1:15" ht="15.75">
      <c r="A215" s="106"/>
      <c r="B215" s="74"/>
      <c r="C215" s="67"/>
      <c r="D215" s="67"/>
      <c r="E215" s="113"/>
      <c r="F215" s="111"/>
      <c r="G215" s="112"/>
      <c r="H215" s="29"/>
      <c r="I215" s="37"/>
      <c r="J215" s="37"/>
      <c r="K215" s="114"/>
      <c r="L215" s="37"/>
      <c r="M215" s="103"/>
      <c r="N215" s="109"/>
      <c r="O215" s="6"/>
    </row>
    <row r="216" spans="1:15" ht="15.75">
      <c r="A216" s="106"/>
      <c r="B216" s="162" t="s">
        <v>152</v>
      </c>
      <c r="C216" s="67"/>
      <c r="D216" s="67"/>
      <c r="E216" s="113"/>
      <c r="F216" s="111"/>
      <c r="G216" s="112"/>
      <c r="H216" s="29"/>
      <c r="I216" s="37"/>
      <c r="J216" s="37"/>
      <c r="K216" s="114"/>
      <c r="L216" s="37"/>
      <c r="M216" s="103"/>
      <c r="N216" s="109"/>
      <c r="O216" s="6"/>
    </row>
    <row r="217" spans="1:15" ht="15.75">
      <c r="A217" s="106"/>
      <c r="B217" s="74" t="s">
        <v>153</v>
      </c>
      <c r="C217" s="67"/>
      <c r="D217" s="67"/>
      <c r="E217" s="113"/>
      <c r="F217" s="111"/>
      <c r="G217" s="112"/>
      <c r="H217" s="29"/>
      <c r="I217" s="37"/>
      <c r="J217" s="37"/>
      <c r="K217" s="115">
        <v>357</v>
      </c>
      <c r="L217" s="37"/>
      <c r="M217" s="103"/>
      <c r="N217" s="109"/>
      <c r="O217" s="6"/>
    </row>
    <row r="218" spans="1:15" ht="15.75">
      <c r="A218" s="106"/>
      <c r="B218" s="74" t="s">
        <v>149</v>
      </c>
      <c r="C218" s="67"/>
      <c r="D218" s="67"/>
      <c r="E218" s="113"/>
      <c r="F218" s="111"/>
      <c r="G218" s="112"/>
      <c r="H218" s="29"/>
      <c r="I218" s="37"/>
      <c r="J218" s="37"/>
      <c r="K218" s="115">
        <v>1.32</v>
      </c>
      <c r="L218" s="37"/>
      <c r="M218" s="103"/>
      <c r="N218" s="109"/>
      <c r="O218" s="6"/>
    </row>
    <row r="219" spans="1:15" ht="15.75">
      <c r="A219" s="106"/>
      <c r="B219" s="74" t="s">
        <v>154</v>
      </c>
      <c r="C219" s="67"/>
      <c r="D219" s="67"/>
      <c r="E219" s="113"/>
      <c r="F219" s="111"/>
      <c r="G219" s="112"/>
      <c r="H219" s="29"/>
      <c r="I219" s="37"/>
      <c r="J219" s="37"/>
      <c r="K219" s="115">
        <v>23</v>
      </c>
      <c r="L219" s="37"/>
      <c r="M219" s="103"/>
      <c r="N219" s="109"/>
      <c r="O219" s="6"/>
    </row>
    <row r="220" spans="1:15" ht="15.75">
      <c r="A220" s="106"/>
      <c r="B220" s="74"/>
      <c r="C220" s="67"/>
      <c r="D220" s="67"/>
      <c r="E220" s="113"/>
      <c r="F220" s="111"/>
      <c r="G220" s="112"/>
      <c r="H220" s="29"/>
      <c r="I220" s="37"/>
      <c r="J220" s="37"/>
      <c r="K220" s="114"/>
      <c r="L220" s="37"/>
      <c r="M220" s="103"/>
      <c r="N220" s="109"/>
      <c r="O220" s="6"/>
    </row>
    <row r="221" spans="1:15" ht="15.75">
      <c r="A221" s="28"/>
      <c r="B221" s="32" t="s">
        <v>155</v>
      </c>
      <c r="C221" s="119"/>
      <c r="D221" s="119"/>
      <c r="E221" s="120"/>
      <c r="F221" s="119"/>
      <c r="G221" s="120"/>
      <c r="H221" s="119"/>
      <c r="I221" s="120" t="s">
        <v>206</v>
      </c>
      <c r="J221" s="119" t="s">
        <v>208</v>
      </c>
      <c r="K221" s="120" t="s">
        <v>215</v>
      </c>
      <c r="L221" s="119" t="s">
        <v>208</v>
      </c>
      <c r="M221" s="121"/>
      <c r="N221" s="109"/>
      <c r="O221" s="6"/>
    </row>
    <row r="222" spans="1:15" ht="15.75">
      <c r="A222" s="28"/>
      <c r="B222" s="67" t="s">
        <v>156</v>
      </c>
      <c r="C222" s="116"/>
      <c r="D222" s="116"/>
      <c r="E222" s="67"/>
      <c r="F222" s="116"/>
      <c r="G222" s="29"/>
      <c r="H222" s="116"/>
      <c r="I222" s="67">
        <v>6360</v>
      </c>
      <c r="J222" s="116">
        <f>I222/I226</f>
        <v>0.9678892101658804</v>
      </c>
      <c r="K222" s="66">
        <v>89960</v>
      </c>
      <c r="L222" s="117">
        <f>K222/K226</f>
        <v>0.9672598247406053</v>
      </c>
      <c r="M222" s="103"/>
      <c r="N222" s="109"/>
      <c r="O222" s="6"/>
    </row>
    <row r="223" spans="1:15" ht="15.75">
      <c r="A223" s="28"/>
      <c r="B223" s="67" t="s">
        <v>157</v>
      </c>
      <c r="C223" s="116"/>
      <c r="D223" s="116"/>
      <c r="E223" s="67"/>
      <c r="F223" s="116"/>
      <c r="G223" s="29"/>
      <c r="H223" s="118"/>
      <c r="I223" s="67">
        <v>89</v>
      </c>
      <c r="J223" s="116">
        <f>I223/I226</f>
        <v>0.01354436158879927</v>
      </c>
      <c r="K223" s="66">
        <v>1326</v>
      </c>
      <c r="L223" s="117">
        <f>K223/K226</f>
        <v>0.014257297994731466</v>
      </c>
      <c r="M223" s="103"/>
      <c r="N223" s="109"/>
      <c r="O223" s="6"/>
    </row>
    <row r="224" spans="1:15" ht="15.75">
      <c r="A224" s="28"/>
      <c r="B224" s="67" t="s">
        <v>158</v>
      </c>
      <c r="C224" s="116"/>
      <c r="D224" s="116"/>
      <c r="E224" s="67"/>
      <c r="F224" s="116"/>
      <c r="G224" s="29"/>
      <c r="H224" s="118"/>
      <c r="I224" s="67">
        <v>48</v>
      </c>
      <c r="J224" s="116">
        <f>I224/I226</f>
        <v>0.007304824227667022</v>
      </c>
      <c r="K224" s="66">
        <v>823</v>
      </c>
      <c r="L224" s="117">
        <f>K224/K226</f>
        <v>0.008848986613622923</v>
      </c>
      <c r="M224" s="103"/>
      <c r="N224" s="109"/>
      <c r="O224" s="6"/>
    </row>
    <row r="225" spans="1:15" ht="15.75">
      <c r="A225" s="28"/>
      <c r="B225" s="67" t="s">
        <v>159</v>
      </c>
      <c r="C225" s="116"/>
      <c r="D225" s="116"/>
      <c r="E225" s="67"/>
      <c r="F225" s="116"/>
      <c r="G225" s="29"/>
      <c r="H225" s="118"/>
      <c r="I225" s="67">
        <f>25+14+7+23+5</f>
        <v>74</v>
      </c>
      <c r="J225" s="116">
        <f>I225/I226</f>
        <v>0.011261604017653325</v>
      </c>
      <c r="K225" s="66">
        <f>225+169+73+343+86</f>
        <v>896</v>
      </c>
      <c r="L225" s="117">
        <f>K225/K226</f>
        <v>0.009633890651040266</v>
      </c>
      <c r="M225" s="103"/>
      <c r="N225" s="109"/>
      <c r="O225" s="6"/>
    </row>
    <row r="226" spans="1:15" ht="15.75">
      <c r="A226" s="28"/>
      <c r="B226" s="29"/>
      <c r="C226" s="29"/>
      <c r="D226" s="29"/>
      <c r="E226" s="37"/>
      <c r="F226" s="29"/>
      <c r="G226" s="29"/>
      <c r="H226" s="29"/>
      <c r="I226" s="65">
        <f>SUM(I222:I225)</f>
        <v>6571</v>
      </c>
      <c r="J226" s="117">
        <f>SUM(J222:J225)</f>
        <v>0.9999999999999999</v>
      </c>
      <c r="K226" s="66">
        <f>SUM(K222:K225)</f>
        <v>93005</v>
      </c>
      <c r="L226" s="117">
        <f>SUM(L222:L225)</f>
        <v>0.9999999999999999</v>
      </c>
      <c r="M226" s="103"/>
      <c r="N226" s="29"/>
      <c r="O226" s="6"/>
    </row>
    <row r="227" spans="1:15" ht="15.75">
      <c r="A227" s="28"/>
      <c r="B227" s="29"/>
      <c r="C227" s="29"/>
      <c r="D227" s="29"/>
      <c r="E227" s="37"/>
      <c r="F227" s="29"/>
      <c r="G227" s="29"/>
      <c r="H227" s="29"/>
      <c r="I227" s="65"/>
      <c r="J227" s="117"/>
      <c r="K227" s="66"/>
      <c r="L227" s="117"/>
      <c r="M227" s="103"/>
      <c r="N227" s="29"/>
      <c r="O227" s="6"/>
    </row>
    <row r="228" spans="1:15" ht="15.75">
      <c r="A228" s="28"/>
      <c r="B228" s="32" t="s">
        <v>160</v>
      </c>
      <c r="C228" s="119"/>
      <c r="D228" s="119"/>
      <c r="E228" s="120"/>
      <c r="F228" s="119"/>
      <c r="G228" s="120"/>
      <c r="H228" s="119"/>
      <c r="I228" s="120" t="s">
        <v>206</v>
      </c>
      <c r="J228" s="119" t="s">
        <v>208</v>
      </c>
      <c r="K228" s="120" t="s">
        <v>215</v>
      </c>
      <c r="L228" s="119" t="s">
        <v>208</v>
      </c>
      <c r="M228" s="121"/>
      <c r="N228" s="109"/>
      <c r="O228" s="6"/>
    </row>
    <row r="229" spans="1:15" ht="15.75">
      <c r="A229" s="28"/>
      <c r="B229" s="67" t="s">
        <v>156</v>
      </c>
      <c r="C229" s="116"/>
      <c r="D229" s="116"/>
      <c r="E229" s="67"/>
      <c r="F229" s="116"/>
      <c r="G229" s="29"/>
      <c r="H229" s="116"/>
      <c r="I229" s="67">
        <v>16545</v>
      </c>
      <c r="J229" s="116">
        <f>I229/I233</f>
        <v>0.9826572429767774</v>
      </c>
      <c r="K229" s="66">
        <v>91431</v>
      </c>
      <c r="L229" s="116">
        <f>K229/K233</f>
        <v>0.9821046865097693</v>
      </c>
      <c r="M229" s="103"/>
      <c r="N229" s="109"/>
      <c r="O229" s="6"/>
    </row>
    <row r="230" spans="1:15" ht="15.75">
      <c r="A230" s="28"/>
      <c r="B230" s="67" t="s">
        <v>157</v>
      </c>
      <c r="C230" s="116"/>
      <c r="D230" s="116"/>
      <c r="E230" s="67"/>
      <c r="F230" s="116"/>
      <c r="G230" s="29"/>
      <c r="H230" s="118"/>
      <c r="I230" s="67">
        <v>124</v>
      </c>
      <c r="J230" s="116">
        <f>I230/I233</f>
        <v>0.007364732434519214</v>
      </c>
      <c r="K230" s="66">
        <v>753</v>
      </c>
      <c r="L230" s="116">
        <f>K230/K233</f>
        <v>0.008088337970074223</v>
      </c>
      <c r="M230" s="103"/>
      <c r="N230" s="109"/>
      <c r="O230" s="6"/>
    </row>
    <row r="231" spans="1:15" ht="15.75">
      <c r="A231" s="28"/>
      <c r="B231" s="67" t="s">
        <v>158</v>
      </c>
      <c r="C231" s="116"/>
      <c r="D231" s="116"/>
      <c r="E231" s="67"/>
      <c r="F231" s="116"/>
      <c r="G231" s="29"/>
      <c r="H231" s="118"/>
      <c r="I231" s="67">
        <v>54</v>
      </c>
      <c r="J231" s="116">
        <f>I231/I233</f>
        <v>0.003207222189226109</v>
      </c>
      <c r="K231" s="66">
        <v>310</v>
      </c>
      <c r="L231" s="116">
        <f>K231/K233</f>
        <v>0.0033298602532842087</v>
      </c>
      <c r="M231" s="103"/>
      <c r="N231" s="109"/>
      <c r="O231" s="6"/>
    </row>
    <row r="232" spans="1:15" ht="15.75">
      <c r="A232" s="28"/>
      <c r="B232" s="67" t="s">
        <v>159</v>
      </c>
      <c r="C232" s="116"/>
      <c r="D232" s="116"/>
      <c r="E232" s="67"/>
      <c r="F232" s="116"/>
      <c r="G232" s="29"/>
      <c r="H232" s="118"/>
      <c r="I232" s="67">
        <f>31+23+12+29+19</f>
        <v>114</v>
      </c>
      <c r="J232" s="116">
        <f>I232/I233</f>
        <v>0.006770802399477341</v>
      </c>
      <c r="K232" s="66">
        <f>147+115+69+188+84</f>
        <v>603</v>
      </c>
      <c r="L232" s="116">
        <f>K232/K233</f>
        <v>0.006477115266872187</v>
      </c>
      <c r="M232" s="103"/>
      <c r="N232" s="109"/>
      <c r="O232" s="6"/>
    </row>
    <row r="233" spans="1:15" ht="15.75">
      <c r="A233" s="28"/>
      <c r="B233" s="29"/>
      <c r="C233" s="29"/>
      <c r="D233" s="29"/>
      <c r="E233" s="37"/>
      <c r="F233" s="29"/>
      <c r="G233" s="29"/>
      <c r="H233" s="29"/>
      <c r="I233" s="65">
        <f>SUM(I229:I232)</f>
        <v>16837</v>
      </c>
      <c r="J233" s="117">
        <f>SUM(J229:J232)</f>
        <v>1</v>
      </c>
      <c r="K233" s="66">
        <f>SUM(K229:K232)</f>
        <v>93097</v>
      </c>
      <c r="L233" s="117">
        <f>SUM(L229:L232)</f>
        <v>1</v>
      </c>
      <c r="M233" s="103"/>
      <c r="N233" s="29"/>
      <c r="O233" s="6"/>
    </row>
    <row r="234" spans="1:15" ht="15.75">
      <c r="A234" s="28"/>
      <c r="B234" s="29"/>
      <c r="C234" s="29"/>
      <c r="D234" s="29"/>
      <c r="E234" s="37"/>
      <c r="F234" s="29"/>
      <c r="G234" s="29"/>
      <c r="H234" s="29"/>
      <c r="I234" s="65"/>
      <c r="J234" s="117"/>
      <c r="K234" s="66"/>
      <c r="L234" s="117"/>
      <c r="M234" s="103"/>
      <c r="N234" s="29"/>
      <c r="O234" s="6"/>
    </row>
    <row r="235" spans="1:15" ht="15.75">
      <c r="A235" s="28"/>
      <c r="B235" s="29" t="s">
        <v>161</v>
      </c>
      <c r="C235" s="29"/>
      <c r="D235" s="29"/>
      <c r="E235" s="37"/>
      <c r="F235" s="29"/>
      <c r="G235" s="29"/>
      <c r="H235" s="29"/>
      <c r="I235" s="65"/>
      <c r="J235" s="117"/>
      <c r="K235" s="66">
        <f>K226+K233</f>
        <v>186102</v>
      </c>
      <c r="L235" s="117"/>
      <c r="M235" s="103"/>
      <c r="N235" s="29"/>
      <c r="O235" s="6"/>
    </row>
    <row r="236" spans="1:15" ht="15.75">
      <c r="A236" s="28"/>
      <c r="B236" s="29"/>
      <c r="C236" s="29"/>
      <c r="D236" s="29"/>
      <c r="E236" s="37"/>
      <c r="F236" s="29"/>
      <c r="G236" s="29"/>
      <c r="H236" s="29"/>
      <c r="I236" s="65"/>
      <c r="J236" s="117"/>
      <c r="K236" s="66"/>
      <c r="L236" s="117"/>
      <c r="M236" s="103"/>
      <c r="N236" s="29"/>
      <c r="O236" s="6"/>
    </row>
    <row r="237" spans="1:15" ht="15.75">
      <c r="A237" s="28"/>
      <c r="B237" s="29"/>
      <c r="C237" s="29"/>
      <c r="D237" s="29"/>
      <c r="E237" s="37"/>
      <c r="F237" s="29"/>
      <c r="G237" s="29"/>
      <c r="H237" s="29"/>
      <c r="I237" s="65"/>
      <c r="J237" s="117"/>
      <c r="K237" s="66"/>
      <c r="L237" s="117"/>
      <c r="M237" s="103"/>
      <c r="N237" s="29"/>
      <c r="O237" s="6"/>
    </row>
    <row r="238" spans="1:15" ht="15.75">
      <c r="A238" s="122"/>
      <c r="B238" s="17" t="s">
        <v>162</v>
      </c>
      <c r="C238" s="123"/>
      <c r="D238" s="123"/>
      <c r="E238" s="20" t="s">
        <v>182</v>
      </c>
      <c r="F238" s="18"/>
      <c r="G238" s="17" t="s">
        <v>194</v>
      </c>
      <c r="H238" s="124"/>
      <c r="I238" s="124"/>
      <c r="J238" s="124"/>
      <c r="K238" s="125"/>
      <c r="L238" s="14"/>
      <c r="M238" s="14"/>
      <c r="N238" s="14"/>
      <c r="O238" s="6"/>
    </row>
    <row r="239" spans="1:15" ht="15.75">
      <c r="A239" s="122"/>
      <c r="B239" s="15" t="s">
        <v>163</v>
      </c>
      <c r="C239" s="126"/>
      <c r="D239" s="126"/>
      <c r="E239" s="127" t="s">
        <v>183</v>
      </c>
      <c r="F239" s="15"/>
      <c r="G239" s="15" t="s">
        <v>195</v>
      </c>
      <c r="H239" s="126"/>
      <c r="I239" s="126"/>
      <c r="J239" s="14"/>
      <c r="K239" s="14"/>
      <c r="L239" s="14"/>
      <c r="M239" s="14"/>
      <c r="N239" s="14"/>
      <c r="O239" s="6"/>
    </row>
    <row r="240" spans="1:15" ht="15.75">
      <c r="A240" s="122"/>
      <c r="B240" s="15" t="s">
        <v>164</v>
      </c>
      <c r="C240" s="126"/>
      <c r="D240" s="126"/>
      <c r="E240" s="127" t="s">
        <v>184</v>
      </c>
      <c r="F240" s="15"/>
      <c r="G240" s="15" t="s">
        <v>196</v>
      </c>
      <c r="H240" s="126"/>
      <c r="I240" s="126"/>
      <c r="J240" s="14"/>
      <c r="K240" s="14"/>
      <c r="L240" s="14"/>
      <c r="M240" s="14"/>
      <c r="N240" s="14"/>
      <c r="O240" s="6"/>
    </row>
    <row r="241" spans="1:15" ht="15.75">
      <c r="A241" s="122"/>
      <c r="B241" s="15"/>
      <c r="C241" s="126"/>
      <c r="D241" s="126"/>
      <c r="E241" s="127"/>
      <c r="F241" s="15"/>
      <c r="G241" s="15"/>
      <c r="H241" s="126"/>
      <c r="I241" s="126"/>
      <c r="J241" s="14"/>
      <c r="K241" s="14"/>
      <c r="L241" s="14"/>
      <c r="M241" s="14"/>
      <c r="N241" s="14"/>
      <c r="O241" s="6"/>
    </row>
    <row r="242" spans="1:15" ht="15.75">
      <c r="A242" s="122"/>
      <c r="B242" s="15"/>
      <c r="C242" s="126"/>
      <c r="D242" s="126"/>
      <c r="E242" s="127"/>
      <c r="F242" s="15"/>
      <c r="G242" s="15"/>
      <c r="H242" s="126"/>
      <c r="I242" s="126"/>
      <c r="J242" s="14"/>
      <c r="K242" s="14"/>
      <c r="L242" s="14"/>
      <c r="M242" s="14"/>
      <c r="N242" s="14"/>
      <c r="O242" s="6"/>
    </row>
    <row r="243" spans="1:15" ht="15.75">
      <c r="A243" s="122"/>
      <c r="B243" s="15" t="str">
        <f>B174</f>
        <v>PASF1 INVESTOR REPORT QUARTER ENDING APRIL 2003</v>
      </c>
      <c r="C243" s="126"/>
      <c r="D243" s="126"/>
      <c r="E243" s="127"/>
      <c r="F243" s="15"/>
      <c r="G243" s="15"/>
      <c r="H243" s="126"/>
      <c r="I243" s="126"/>
      <c r="J243" s="14"/>
      <c r="K243" s="14"/>
      <c r="L243" s="14"/>
      <c r="M243" s="14"/>
      <c r="N243" s="14"/>
      <c r="O243" s="6"/>
    </row>
    <row r="244" spans="1:14" ht="15">
      <c r="A244" s="130"/>
      <c r="B244" s="130"/>
      <c r="C244" s="130"/>
      <c r="D244" s="130"/>
      <c r="E244" s="130"/>
      <c r="F244" s="130"/>
      <c r="G244" s="130"/>
      <c r="H244" s="130"/>
      <c r="I244" s="130"/>
      <c r="J244" s="130"/>
      <c r="K244" s="130"/>
      <c r="L244" s="130"/>
      <c r="M244" s="130"/>
      <c r="N244" s="130"/>
    </row>
  </sheetData>
  <printOptions horizontalCentered="1" verticalCentered="1"/>
  <pageMargins left="0.2362204724409449" right="0.4330708661417323" top="0.2362204724409449" bottom="0.31496062992125984" header="0" footer="0"/>
  <pageSetup horizontalDpi="600" verticalDpi="600" orientation="landscape" paperSize="9" scale="48" r:id="rId2"/>
  <rowBreaks count="3" manualBreakCount="3">
    <brk id="53" max="14" man="1"/>
    <brk id="116" max="14" man="1"/>
    <brk id="174" max="14" man="1"/>
  </rowBreaks>
  <drawing r:id="rId1"/>
</worksheet>
</file>

<file path=xl/worksheets/sheet11.xml><?xml version="1.0" encoding="utf-8"?>
<worksheet xmlns="http://schemas.openxmlformats.org/spreadsheetml/2006/main" xmlns:r="http://schemas.openxmlformats.org/officeDocument/2006/relationships">
  <dimension ref="A1:T24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49.6640625" style="1" customWidth="1"/>
    <col min="3" max="3" width="12.6640625" style="1" customWidth="1"/>
    <col min="4" max="4" width="18.6640625" style="1" customWidth="1"/>
    <col min="5" max="5" width="14.6640625" style="1" customWidth="1"/>
    <col min="6" max="6" width="4.6640625" style="1" customWidth="1"/>
    <col min="7" max="7" width="14.6640625" style="1" customWidth="1"/>
    <col min="8" max="8" width="4.6640625" style="1" customWidth="1"/>
    <col min="9" max="9" width="19.6640625" style="1" customWidth="1"/>
    <col min="10" max="10" width="6.6640625" style="1" customWidth="1"/>
    <col min="11" max="11" width="11.6640625" style="1" customWidth="1"/>
    <col min="12" max="12" width="8.6640625" style="1" customWidth="1"/>
    <col min="13" max="13" width="14.6640625" style="1" customWidth="1"/>
    <col min="14" max="14" width="2.6640625" style="1" customWidth="1"/>
    <col min="15" max="16384" width="9.6640625" style="1" customWidth="1"/>
  </cols>
  <sheetData>
    <row r="1" spans="1:15" ht="20.25">
      <c r="A1" s="2"/>
      <c r="B1" s="3" t="s">
        <v>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44" t="s">
        <v>1</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241</v>
      </c>
      <c r="C5" s="13"/>
      <c r="D5" s="13"/>
      <c r="E5" s="9"/>
      <c r="F5" s="9"/>
      <c r="G5" s="9"/>
      <c r="H5" s="9"/>
      <c r="I5" s="9"/>
      <c r="J5" s="9"/>
      <c r="K5" s="9"/>
      <c r="L5" s="9"/>
      <c r="M5" s="9"/>
      <c r="N5" s="9"/>
      <c r="O5" s="6"/>
    </row>
    <row r="6" spans="1:15" ht="15.75">
      <c r="A6" s="7"/>
      <c r="B6" s="12" t="s">
        <v>242</v>
      </c>
      <c r="C6" s="13"/>
      <c r="D6" s="13"/>
      <c r="E6" s="9"/>
      <c r="F6" s="9"/>
      <c r="G6" s="9"/>
      <c r="H6" s="9"/>
      <c r="I6" s="9"/>
      <c r="J6" s="9"/>
      <c r="K6" s="9"/>
      <c r="L6" s="9"/>
      <c r="M6" s="9"/>
      <c r="N6" s="9"/>
      <c r="O6" s="6"/>
    </row>
    <row r="7" spans="1:15" ht="15.75">
      <c r="A7" s="7"/>
      <c r="B7" s="12" t="s">
        <v>4</v>
      </c>
      <c r="C7" s="13"/>
      <c r="D7" s="13"/>
      <c r="E7" s="9"/>
      <c r="F7" s="9"/>
      <c r="G7" s="9"/>
      <c r="H7" s="9"/>
      <c r="I7" s="9"/>
      <c r="J7" s="9"/>
      <c r="K7" s="9"/>
      <c r="L7" s="9"/>
      <c r="M7" s="9"/>
      <c r="N7" s="9"/>
      <c r="O7" s="6"/>
    </row>
    <row r="8" spans="1:15" ht="15.75">
      <c r="A8" s="7"/>
      <c r="B8" s="14"/>
      <c r="C8" s="13"/>
      <c r="D8" s="13"/>
      <c r="E8" s="9"/>
      <c r="F8" s="9"/>
      <c r="G8" s="9"/>
      <c r="H8" s="9"/>
      <c r="I8" s="9"/>
      <c r="J8" s="9"/>
      <c r="K8" s="9"/>
      <c r="L8" s="9"/>
      <c r="M8" s="9"/>
      <c r="N8" s="9"/>
      <c r="O8" s="6"/>
    </row>
    <row r="9" spans="1:15" ht="15.75">
      <c r="A9" s="7"/>
      <c r="B9" s="13"/>
      <c r="C9" s="13"/>
      <c r="D9" s="13"/>
      <c r="E9" s="15"/>
      <c r="F9" s="15"/>
      <c r="G9" s="9"/>
      <c r="H9" s="9"/>
      <c r="I9" s="9"/>
      <c r="J9" s="9"/>
      <c r="K9" s="9"/>
      <c r="L9" s="9"/>
      <c r="M9" s="9"/>
      <c r="N9" s="9"/>
      <c r="O9" s="6"/>
    </row>
    <row r="10" spans="1:15" ht="15.75">
      <c r="A10" s="7"/>
      <c r="B10" s="15" t="s">
        <v>5</v>
      </c>
      <c r="C10" s="15"/>
      <c r="D10" s="15"/>
      <c r="E10" s="9"/>
      <c r="F10" s="9"/>
      <c r="G10" s="9"/>
      <c r="H10" s="9"/>
      <c r="I10" s="9"/>
      <c r="J10" s="9"/>
      <c r="K10" s="9"/>
      <c r="L10" s="9"/>
      <c r="M10" s="9"/>
      <c r="N10" s="9"/>
      <c r="O10" s="6"/>
    </row>
    <row r="11" spans="1:15" ht="15.75">
      <c r="A11" s="7"/>
      <c r="B11" s="15"/>
      <c r="C11" s="15"/>
      <c r="D11" s="15"/>
      <c r="E11" s="9"/>
      <c r="F11" s="9"/>
      <c r="G11" s="9"/>
      <c r="H11" s="9"/>
      <c r="I11" s="9"/>
      <c r="J11" s="9"/>
      <c r="K11" s="9"/>
      <c r="L11" s="9"/>
      <c r="M11" s="9"/>
      <c r="N11" s="9"/>
      <c r="O11" s="6"/>
    </row>
    <row r="12" spans="1:15" ht="15.75">
      <c r="A12" s="2"/>
      <c r="B12" s="5"/>
      <c r="C12" s="5"/>
      <c r="D12" s="5"/>
      <c r="E12" s="5"/>
      <c r="F12" s="5"/>
      <c r="G12" s="5"/>
      <c r="H12" s="5"/>
      <c r="I12" s="5"/>
      <c r="J12" s="5"/>
      <c r="K12" s="5"/>
      <c r="L12" s="5"/>
      <c r="M12" s="5"/>
      <c r="N12" s="5"/>
      <c r="O12" s="6"/>
    </row>
    <row r="13" spans="1:15" ht="15.75">
      <c r="A13" s="7"/>
      <c r="B13" s="17" t="s">
        <v>6</v>
      </c>
      <c r="C13" s="17"/>
      <c r="D13" s="17"/>
      <c r="E13" s="18"/>
      <c r="F13" s="18"/>
      <c r="G13" s="18"/>
      <c r="H13" s="18"/>
      <c r="I13" s="18"/>
      <c r="J13" s="18"/>
      <c r="K13" s="18"/>
      <c r="L13" s="18"/>
      <c r="M13" s="19" t="s">
        <v>217</v>
      </c>
      <c r="N13" s="9"/>
      <c r="O13" s="6"/>
    </row>
    <row r="14" spans="1:15" ht="15.75">
      <c r="A14" s="7"/>
      <c r="B14" s="17" t="s">
        <v>7</v>
      </c>
      <c r="C14" s="17"/>
      <c r="D14" s="18"/>
      <c r="E14" s="18"/>
      <c r="F14" s="18"/>
      <c r="G14" s="18"/>
      <c r="H14" s="20" t="s">
        <v>197</v>
      </c>
      <c r="I14" s="21">
        <v>0.52</v>
      </c>
      <c r="J14" s="20" t="s">
        <v>207</v>
      </c>
      <c r="K14" s="21">
        <v>0.48</v>
      </c>
      <c r="L14" s="18"/>
      <c r="M14" s="19"/>
      <c r="N14" s="9"/>
      <c r="O14" s="6"/>
    </row>
    <row r="15" spans="1:15" ht="15.75">
      <c r="A15" s="7"/>
      <c r="B15" s="17" t="s">
        <v>8</v>
      </c>
      <c r="C15" s="17"/>
      <c r="D15" s="18"/>
      <c r="E15" s="18"/>
      <c r="F15" s="18"/>
      <c r="G15" s="18"/>
      <c r="H15" s="20" t="s">
        <v>197</v>
      </c>
      <c r="I15" s="21">
        <f>K233/K235</f>
        <v>0.5049496743635287</v>
      </c>
      <c r="J15" s="20" t="s">
        <v>207</v>
      </c>
      <c r="K15" s="21">
        <f>K226/K235</f>
        <v>0.4950503256364713</v>
      </c>
      <c r="L15" s="18"/>
      <c r="M15" s="19"/>
      <c r="N15" s="9"/>
      <c r="O15" s="6"/>
    </row>
    <row r="16" spans="1:15" ht="15.75">
      <c r="A16" s="7"/>
      <c r="B16" s="17" t="s">
        <v>9</v>
      </c>
      <c r="C16" s="17"/>
      <c r="D16" s="17"/>
      <c r="E16" s="18"/>
      <c r="F16" s="18"/>
      <c r="G16" s="18"/>
      <c r="H16" s="18"/>
      <c r="I16" s="18"/>
      <c r="J16" s="18"/>
      <c r="K16" s="18"/>
      <c r="L16" s="18"/>
      <c r="M16" s="20" t="s">
        <v>218</v>
      </c>
      <c r="N16" s="9"/>
      <c r="O16" s="6"/>
    </row>
    <row r="17" spans="1:15" ht="15.75">
      <c r="A17" s="7"/>
      <c r="B17" s="17" t="s">
        <v>10</v>
      </c>
      <c r="C17" s="17"/>
      <c r="D17" s="17"/>
      <c r="E17" s="18"/>
      <c r="F17" s="18"/>
      <c r="G17" s="18"/>
      <c r="H17" s="18"/>
      <c r="I17" s="18"/>
      <c r="J17" s="18"/>
      <c r="K17" s="18"/>
      <c r="L17" s="18"/>
      <c r="M17" s="22">
        <v>37857</v>
      </c>
      <c r="N17" s="9"/>
      <c r="O17" s="6"/>
    </row>
    <row r="18" spans="1:15" ht="15.75">
      <c r="A18" s="7"/>
      <c r="B18" s="9"/>
      <c r="C18" s="9"/>
      <c r="D18" s="9"/>
      <c r="E18" s="9"/>
      <c r="F18" s="9"/>
      <c r="G18" s="9"/>
      <c r="H18" s="9"/>
      <c r="I18" s="9"/>
      <c r="J18" s="9"/>
      <c r="K18" s="9"/>
      <c r="L18" s="9"/>
      <c r="M18" s="23"/>
      <c r="N18" s="9"/>
      <c r="O18" s="6"/>
    </row>
    <row r="19" spans="1:15" ht="15.75">
      <c r="A19" s="7"/>
      <c r="B19" s="24" t="s">
        <v>11</v>
      </c>
      <c r="C19" s="9"/>
      <c r="D19" s="9"/>
      <c r="E19" s="9"/>
      <c r="F19" s="9"/>
      <c r="G19" s="9"/>
      <c r="H19" s="9"/>
      <c r="I19" s="9"/>
      <c r="J19" s="9"/>
      <c r="K19" s="23"/>
      <c r="L19" s="9"/>
      <c r="M19" s="14"/>
      <c r="N19" s="9"/>
      <c r="O19" s="6"/>
    </row>
    <row r="20" spans="1:15" ht="15.75">
      <c r="A20" s="7"/>
      <c r="B20" s="9"/>
      <c r="C20" s="9"/>
      <c r="D20" s="9"/>
      <c r="E20" s="9"/>
      <c r="F20" s="9"/>
      <c r="G20" s="9"/>
      <c r="H20" s="9"/>
      <c r="I20" s="9"/>
      <c r="J20" s="9"/>
      <c r="K20" s="9"/>
      <c r="L20" s="9"/>
      <c r="M20" s="25"/>
      <c r="N20" s="9"/>
      <c r="O20" s="6"/>
    </row>
    <row r="21" spans="1:15" ht="31.5">
      <c r="A21" s="7"/>
      <c r="B21" s="9"/>
      <c r="C21" s="145" t="s">
        <v>165</v>
      </c>
      <c r="D21" s="168" t="s">
        <v>168</v>
      </c>
      <c r="E21" s="168" t="s">
        <v>179</v>
      </c>
      <c r="F21" s="168"/>
      <c r="G21" s="168" t="s">
        <v>185</v>
      </c>
      <c r="H21" s="168"/>
      <c r="I21" s="168" t="s">
        <v>198</v>
      </c>
      <c r="J21" s="26"/>
      <c r="K21" s="27"/>
      <c r="L21" s="14"/>
      <c r="M21" s="14"/>
      <c r="N21" s="9"/>
      <c r="O21" s="6"/>
    </row>
    <row r="22" spans="1:15" ht="15.75">
      <c r="A22" s="28"/>
      <c r="B22" s="29" t="s">
        <v>12</v>
      </c>
      <c r="C22" s="146" t="s">
        <v>166</v>
      </c>
      <c r="D22" s="30" t="s">
        <v>169</v>
      </c>
      <c r="E22" s="30"/>
      <c r="F22" s="30"/>
      <c r="G22" s="30" t="s">
        <v>186</v>
      </c>
      <c r="H22" s="30"/>
      <c r="I22" s="30" t="s">
        <v>199</v>
      </c>
      <c r="J22" s="30"/>
      <c r="K22" s="30"/>
      <c r="L22" s="31"/>
      <c r="M22" s="31"/>
      <c r="N22" s="29"/>
      <c r="O22" s="6"/>
    </row>
    <row r="23" spans="1:15" ht="15.75">
      <c r="A23" s="28"/>
      <c r="B23" s="29" t="s">
        <v>13</v>
      </c>
      <c r="C23" s="32"/>
      <c r="D23" s="33" t="s">
        <v>170</v>
      </c>
      <c r="E23" s="34"/>
      <c r="F23" s="33"/>
      <c r="G23" s="33" t="s">
        <v>187</v>
      </c>
      <c r="H23" s="33"/>
      <c r="I23" s="33" t="s">
        <v>200</v>
      </c>
      <c r="J23" s="35"/>
      <c r="K23" s="35"/>
      <c r="L23" s="36"/>
      <c r="M23" s="31"/>
      <c r="N23" s="29"/>
      <c r="O23" s="6"/>
    </row>
    <row r="24" spans="1:15" ht="15.75">
      <c r="A24" s="28"/>
      <c r="B24" s="32" t="s">
        <v>14</v>
      </c>
      <c r="C24" s="32"/>
      <c r="D24" s="35" t="s">
        <v>169</v>
      </c>
      <c r="E24" s="35"/>
      <c r="F24" s="35"/>
      <c r="G24" s="35" t="s">
        <v>186</v>
      </c>
      <c r="H24" s="35"/>
      <c r="I24" s="35" t="s">
        <v>199</v>
      </c>
      <c r="J24" s="35"/>
      <c r="K24" s="35"/>
      <c r="L24" s="36"/>
      <c r="M24" s="31"/>
      <c r="N24" s="29"/>
      <c r="O24" s="6"/>
    </row>
    <row r="25" spans="1:15" ht="15.75">
      <c r="A25" s="28"/>
      <c r="B25" s="32" t="s">
        <v>15</v>
      </c>
      <c r="C25" s="32"/>
      <c r="D25" s="35" t="s">
        <v>170</v>
      </c>
      <c r="E25" s="35"/>
      <c r="F25" s="35"/>
      <c r="G25" s="35" t="s">
        <v>187</v>
      </c>
      <c r="H25" s="35"/>
      <c r="I25" s="35" t="s">
        <v>200</v>
      </c>
      <c r="J25" s="35"/>
      <c r="K25" s="35"/>
      <c r="L25" s="36"/>
      <c r="M25" s="31"/>
      <c r="N25" s="29"/>
      <c r="O25" s="6"/>
    </row>
    <row r="26" spans="1:15" ht="15.75">
      <c r="A26" s="28"/>
      <c r="B26" s="29" t="s">
        <v>16</v>
      </c>
      <c r="C26" s="29"/>
      <c r="D26" s="37" t="s">
        <v>171</v>
      </c>
      <c r="E26" s="37"/>
      <c r="F26" s="30"/>
      <c r="G26" s="37" t="s">
        <v>188</v>
      </c>
      <c r="H26" s="30"/>
      <c r="I26" s="37" t="s">
        <v>201</v>
      </c>
      <c r="J26" s="30"/>
      <c r="K26" s="37"/>
      <c r="L26" s="31"/>
      <c r="M26" s="31"/>
      <c r="N26" s="29"/>
      <c r="O26" s="6"/>
    </row>
    <row r="27" spans="1:15" ht="15.75">
      <c r="A27" s="28"/>
      <c r="B27" s="29"/>
      <c r="C27" s="29"/>
      <c r="D27" s="29"/>
      <c r="E27" s="29"/>
      <c r="F27" s="30"/>
      <c r="G27" s="30"/>
      <c r="H27" s="30"/>
      <c r="I27" s="30"/>
      <c r="J27" s="30"/>
      <c r="K27" s="30"/>
      <c r="L27" s="31"/>
      <c r="M27" s="31"/>
      <c r="N27" s="29"/>
      <c r="O27" s="6"/>
    </row>
    <row r="28" spans="1:15" ht="15.75">
      <c r="A28" s="28"/>
      <c r="B28" s="29" t="s">
        <v>17</v>
      </c>
      <c r="C28" s="29"/>
      <c r="D28" s="38" t="s">
        <v>172</v>
      </c>
      <c r="E28" s="38">
        <v>168668</v>
      </c>
      <c r="F28" s="39"/>
      <c r="G28" s="38">
        <v>16580</v>
      </c>
      <c r="H28" s="38"/>
      <c r="I28" s="38">
        <v>9750</v>
      </c>
      <c r="J28" s="38"/>
      <c r="K28" s="38"/>
      <c r="L28" s="39" t="s">
        <v>172</v>
      </c>
      <c r="M28" s="38">
        <f>K28+I28+G28+E28</f>
        <v>194998</v>
      </c>
      <c r="N28" s="40"/>
      <c r="O28" s="6"/>
    </row>
    <row r="29" spans="1:15" ht="15.75">
      <c r="A29" s="28"/>
      <c r="B29" s="29" t="s">
        <v>18</v>
      </c>
      <c r="C29" s="41">
        <f>M28/M29</f>
        <v>1</v>
      </c>
      <c r="D29" s="38" t="s">
        <v>173</v>
      </c>
      <c r="E29" s="38">
        <v>168668</v>
      </c>
      <c r="F29" s="39"/>
      <c r="G29" s="38">
        <v>16580</v>
      </c>
      <c r="H29" s="38"/>
      <c r="I29" s="38">
        <v>9750</v>
      </c>
      <c r="J29" s="42"/>
      <c r="K29" s="38"/>
      <c r="L29" s="39" t="s">
        <v>172</v>
      </c>
      <c r="M29" s="38">
        <f>K29+I29+G29+E29</f>
        <v>194998</v>
      </c>
      <c r="N29" s="40"/>
      <c r="O29" s="6"/>
    </row>
    <row r="30" spans="1:15" ht="15.75">
      <c r="A30" s="43"/>
      <c r="B30" s="32" t="s">
        <v>19</v>
      </c>
      <c r="C30" s="44">
        <f>M29/M30</f>
        <v>1</v>
      </c>
      <c r="D30" s="45" t="s">
        <v>172</v>
      </c>
      <c r="E30" s="45">
        <v>168668</v>
      </c>
      <c r="F30" s="46"/>
      <c r="G30" s="45">
        <v>16580</v>
      </c>
      <c r="H30" s="45"/>
      <c r="I30" s="45">
        <v>9750</v>
      </c>
      <c r="J30" s="45"/>
      <c r="K30" s="45"/>
      <c r="L30" s="46" t="s">
        <v>172</v>
      </c>
      <c r="M30" s="45">
        <f>K30+I30+G30+E30</f>
        <v>194998</v>
      </c>
      <c r="N30" s="29"/>
      <c r="O30" s="6"/>
    </row>
    <row r="31" spans="1:15" ht="15.75">
      <c r="A31" s="28"/>
      <c r="B31" s="29" t="s">
        <v>20</v>
      </c>
      <c r="C31" s="140"/>
      <c r="D31" s="37" t="s">
        <v>174</v>
      </c>
      <c r="E31" s="37"/>
      <c r="F31" s="29"/>
      <c r="G31" s="37" t="s">
        <v>189</v>
      </c>
      <c r="H31" s="37"/>
      <c r="I31" s="37" t="s">
        <v>202</v>
      </c>
      <c r="J31" s="37"/>
      <c r="K31" s="37"/>
      <c r="L31" s="31"/>
      <c r="M31" s="31"/>
      <c r="N31" s="29"/>
      <c r="O31" s="6"/>
    </row>
    <row r="32" spans="1:15" ht="15.75">
      <c r="A32" s="28"/>
      <c r="B32" s="29" t="s">
        <v>21</v>
      </c>
      <c r="C32" s="140"/>
      <c r="D32" s="48" t="s">
        <v>175</v>
      </c>
      <c r="E32" s="49">
        <v>0.04043</v>
      </c>
      <c r="F32" s="50"/>
      <c r="G32" s="48">
        <v>0.0446875</v>
      </c>
      <c r="H32" s="48"/>
      <c r="I32" s="48">
        <v>0.0546875</v>
      </c>
      <c r="J32" s="51"/>
      <c r="K32" s="48"/>
      <c r="L32" s="31"/>
      <c r="M32" s="51">
        <f>SUMPRODUCT(E32:K32,E30:K30)/M30</f>
        <v>0.04150488269110452</v>
      </c>
      <c r="N32" s="29"/>
      <c r="O32" s="6"/>
    </row>
    <row r="33" spans="1:15" ht="15.75">
      <c r="A33" s="28"/>
      <c r="B33" s="29" t="s">
        <v>22</v>
      </c>
      <c r="C33" s="140"/>
      <c r="D33" s="48">
        <v>0.02804</v>
      </c>
      <c r="E33" s="48"/>
      <c r="F33" s="50"/>
      <c r="G33" s="48" t="s">
        <v>175</v>
      </c>
      <c r="H33" s="48"/>
      <c r="I33" s="48" t="s">
        <v>175</v>
      </c>
      <c r="J33" s="51"/>
      <c r="K33" s="48"/>
      <c r="L33" s="31"/>
      <c r="M33" s="51"/>
      <c r="N33" s="29"/>
      <c r="O33" s="6"/>
    </row>
    <row r="34" spans="1:15" ht="15.75">
      <c r="A34" s="28"/>
      <c r="B34" s="29" t="s">
        <v>23</v>
      </c>
      <c r="C34" s="140"/>
      <c r="D34" s="48" t="s">
        <v>175</v>
      </c>
      <c r="E34" s="48"/>
      <c r="F34" s="48"/>
      <c r="G34" s="48">
        <v>0.045</v>
      </c>
      <c r="H34" s="48"/>
      <c r="I34" s="48">
        <v>0.055</v>
      </c>
      <c r="J34" s="51"/>
      <c r="K34" s="48"/>
      <c r="L34" s="31"/>
      <c r="M34" s="31"/>
      <c r="N34" s="29"/>
      <c r="O34" s="6"/>
    </row>
    <row r="35" spans="1:15" ht="15.75">
      <c r="A35" s="28"/>
      <c r="B35" s="29" t="s">
        <v>24</v>
      </c>
      <c r="C35" s="140"/>
      <c r="D35" s="48">
        <v>0.03047</v>
      </c>
      <c r="E35" s="48"/>
      <c r="F35" s="50"/>
      <c r="G35" s="48" t="s">
        <v>175</v>
      </c>
      <c r="H35" s="48"/>
      <c r="I35" s="48" t="s">
        <v>175</v>
      </c>
      <c r="J35" s="51"/>
      <c r="K35" s="48"/>
      <c r="L35" s="31"/>
      <c r="M35" s="31"/>
      <c r="N35" s="29"/>
      <c r="O35" s="6"/>
    </row>
    <row r="36" spans="1:15" ht="15.75">
      <c r="A36" s="28"/>
      <c r="B36" s="29" t="s">
        <v>25</v>
      </c>
      <c r="C36" s="140"/>
      <c r="D36" s="37" t="s">
        <v>176</v>
      </c>
      <c r="E36" s="37"/>
      <c r="F36" s="29"/>
      <c r="G36" s="37" t="s">
        <v>176</v>
      </c>
      <c r="H36" s="37"/>
      <c r="I36" s="37" t="s">
        <v>176</v>
      </c>
      <c r="J36" s="37"/>
      <c r="K36" s="37"/>
      <c r="L36" s="31"/>
      <c r="M36" s="31"/>
      <c r="N36" s="29"/>
      <c r="O36" s="6"/>
    </row>
    <row r="37" spans="1:15" ht="15.75">
      <c r="A37" s="28"/>
      <c r="B37" s="29" t="s">
        <v>26</v>
      </c>
      <c r="C37" s="29"/>
      <c r="D37" s="52">
        <v>39036</v>
      </c>
      <c r="E37" s="52"/>
      <c r="F37" s="29"/>
      <c r="G37" s="52">
        <v>39036</v>
      </c>
      <c r="H37" s="52"/>
      <c r="I37" s="52">
        <v>39036</v>
      </c>
      <c r="J37" s="37"/>
      <c r="K37" s="37"/>
      <c r="L37" s="31"/>
      <c r="M37" s="31"/>
      <c r="N37" s="29"/>
      <c r="O37" s="6"/>
    </row>
    <row r="38" spans="1:15" ht="15.75">
      <c r="A38" s="28"/>
      <c r="B38" s="29" t="s">
        <v>27</v>
      </c>
      <c r="C38" s="29"/>
      <c r="D38" s="37" t="s">
        <v>177</v>
      </c>
      <c r="E38" s="37"/>
      <c r="F38" s="29"/>
      <c r="G38" s="37" t="s">
        <v>190</v>
      </c>
      <c r="H38" s="37"/>
      <c r="I38" s="37" t="s">
        <v>203</v>
      </c>
      <c r="J38" s="37"/>
      <c r="K38" s="37"/>
      <c r="L38" s="31"/>
      <c r="M38" s="31"/>
      <c r="N38" s="29"/>
      <c r="O38" s="6"/>
    </row>
    <row r="39" spans="1:15" ht="15.75">
      <c r="A39" s="28"/>
      <c r="B39" s="29"/>
      <c r="C39" s="29"/>
      <c r="D39" s="29"/>
      <c r="E39" s="53"/>
      <c r="F39" s="53"/>
      <c r="G39" s="29"/>
      <c r="H39" s="53"/>
      <c r="I39" s="53"/>
      <c r="J39" s="53"/>
      <c r="K39" s="53"/>
      <c r="L39" s="53"/>
      <c r="M39" s="53"/>
      <c r="N39" s="29"/>
      <c r="O39" s="6"/>
    </row>
    <row r="40" spans="1:15" ht="15.75">
      <c r="A40" s="28"/>
      <c r="B40" s="29" t="s">
        <v>28</v>
      </c>
      <c r="C40" s="29"/>
      <c r="D40" s="29"/>
      <c r="E40" s="29"/>
      <c r="F40" s="29"/>
      <c r="G40" s="50"/>
      <c r="H40" s="29"/>
      <c r="I40" s="50"/>
      <c r="J40" s="29"/>
      <c r="K40" s="29"/>
      <c r="L40" s="29"/>
      <c r="M40" s="51">
        <f>(I28+G28)/(E28)</f>
        <v>0.15610548533213175</v>
      </c>
      <c r="N40" s="29"/>
      <c r="O40" s="6"/>
    </row>
    <row r="41" spans="1:15" ht="15.75">
      <c r="A41" s="28"/>
      <c r="B41" s="29" t="s">
        <v>29</v>
      </c>
      <c r="C41" s="29"/>
      <c r="D41" s="29"/>
      <c r="E41" s="29"/>
      <c r="F41" s="29"/>
      <c r="G41" s="50"/>
      <c r="H41" s="29"/>
      <c r="I41" s="50"/>
      <c r="J41" s="29"/>
      <c r="K41" s="29"/>
      <c r="L41" s="29"/>
      <c r="M41" s="51">
        <f>(I30+G30)/(E30)</f>
        <v>0.15610548533213175</v>
      </c>
      <c r="N41" s="29"/>
      <c r="O41" s="6"/>
    </row>
    <row r="42" spans="1:15" ht="15.75">
      <c r="A42" s="28"/>
      <c r="B42" s="29" t="s">
        <v>30</v>
      </c>
      <c r="C42" s="29"/>
      <c r="D42" s="29"/>
      <c r="E42" s="29"/>
      <c r="F42" s="29"/>
      <c r="G42" s="29"/>
      <c r="H42" s="29"/>
      <c r="I42" s="29"/>
      <c r="J42" s="29"/>
      <c r="K42" s="37" t="s">
        <v>168</v>
      </c>
      <c r="L42" s="37" t="s">
        <v>216</v>
      </c>
      <c r="M42" s="38">
        <v>60336</v>
      </c>
      <c r="N42" s="29"/>
      <c r="O42" s="6"/>
    </row>
    <row r="43" spans="1:15" ht="15.75">
      <c r="A43" s="28"/>
      <c r="B43" s="29"/>
      <c r="C43" s="29"/>
      <c r="D43" s="29"/>
      <c r="E43" s="29"/>
      <c r="F43" s="29"/>
      <c r="G43" s="29"/>
      <c r="H43" s="29"/>
      <c r="I43" s="29"/>
      <c r="J43" s="29"/>
      <c r="K43" s="29"/>
      <c r="L43" s="29"/>
      <c r="M43" s="54"/>
      <c r="N43" s="29"/>
      <c r="O43" s="6"/>
    </row>
    <row r="44" spans="1:15" ht="15.75">
      <c r="A44" s="28"/>
      <c r="B44" s="29" t="s">
        <v>31</v>
      </c>
      <c r="C44" s="29"/>
      <c r="D44" s="29"/>
      <c r="E44" s="29"/>
      <c r="F44" s="29"/>
      <c r="G44" s="29"/>
      <c r="H44" s="29"/>
      <c r="I44" s="29"/>
      <c r="J44" s="29"/>
      <c r="K44" s="37"/>
      <c r="L44" s="37"/>
      <c r="M44" s="37" t="s">
        <v>219</v>
      </c>
      <c r="N44" s="29"/>
      <c r="O44" s="6"/>
    </row>
    <row r="45" spans="1:15" ht="15.75">
      <c r="A45" s="43"/>
      <c r="B45" s="32" t="s">
        <v>32</v>
      </c>
      <c r="C45" s="32"/>
      <c r="D45" s="32"/>
      <c r="E45" s="32"/>
      <c r="F45" s="32"/>
      <c r="G45" s="32"/>
      <c r="H45" s="32"/>
      <c r="I45" s="32"/>
      <c r="J45" s="32"/>
      <c r="K45" s="55"/>
      <c r="L45" s="55"/>
      <c r="M45" s="56">
        <v>37848</v>
      </c>
      <c r="N45" s="32"/>
      <c r="O45" s="6"/>
    </row>
    <row r="46" spans="1:15" ht="15.75">
      <c r="A46" s="28"/>
      <c r="B46" s="29" t="s">
        <v>33</v>
      </c>
      <c r="C46" s="29"/>
      <c r="D46" s="29"/>
      <c r="E46" s="29"/>
      <c r="F46" s="29"/>
      <c r="G46" s="29"/>
      <c r="H46" s="29"/>
      <c r="I46" s="31"/>
      <c r="J46" s="29">
        <f>M46-K46+1</f>
        <v>87</v>
      </c>
      <c r="K46" s="58">
        <v>37669</v>
      </c>
      <c r="L46" s="59"/>
      <c r="M46" s="58">
        <v>37755</v>
      </c>
      <c r="N46" s="29"/>
      <c r="O46" s="6"/>
    </row>
    <row r="47" spans="1:15" ht="15.75">
      <c r="A47" s="28"/>
      <c r="B47" s="29" t="s">
        <v>34</v>
      </c>
      <c r="C47" s="29"/>
      <c r="D47" s="29"/>
      <c r="E47" s="29"/>
      <c r="F47" s="29"/>
      <c r="G47" s="29"/>
      <c r="H47" s="29"/>
      <c r="I47" s="31"/>
      <c r="J47" s="29">
        <f>M47-K47+1</f>
        <v>92</v>
      </c>
      <c r="K47" s="58">
        <v>37756</v>
      </c>
      <c r="L47" s="59"/>
      <c r="M47" s="58">
        <v>37847</v>
      </c>
      <c r="N47" s="29"/>
      <c r="O47" s="6"/>
    </row>
    <row r="48" spans="1:15" ht="15.75">
      <c r="A48" s="28"/>
      <c r="B48" s="29" t="s">
        <v>35</v>
      </c>
      <c r="C48" s="29"/>
      <c r="D48" s="29"/>
      <c r="E48" s="29"/>
      <c r="F48" s="29"/>
      <c r="G48" s="29"/>
      <c r="H48" s="29"/>
      <c r="I48" s="29"/>
      <c r="J48" s="29"/>
      <c r="K48" s="58"/>
      <c r="L48" s="59"/>
      <c r="M48" s="58" t="s">
        <v>220</v>
      </c>
      <c r="N48" s="29"/>
      <c r="O48" s="6"/>
    </row>
    <row r="49" spans="1:15" ht="15.75">
      <c r="A49" s="28"/>
      <c r="B49" s="29" t="s">
        <v>36</v>
      </c>
      <c r="C49" s="29"/>
      <c r="D49" s="29"/>
      <c r="E49" s="29"/>
      <c r="F49" s="29"/>
      <c r="G49" s="29"/>
      <c r="H49" s="29"/>
      <c r="I49" s="29"/>
      <c r="J49" s="29"/>
      <c r="K49" s="58"/>
      <c r="L49" s="59"/>
      <c r="M49" s="58" t="s">
        <v>221</v>
      </c>
      <c r="N49" s="29"/>
      <c r="O49" s="6"/>
    </row>
    <row r="50" spans="1:15" ht="15.75">
      <c r="A50" s="28"/>
      <c r="B50" s="29" t="s">
        <v>37</v>
      </c>
      <c r="C50" s="29"/>
      <c r="D50" s="29"/>
      <c r="E50" s="29"/>
      <c r="F50" s="29"/>
      <c r="G50" s="29"/>
      <c r="H50" s="29"/>
      <c r="I50" s="29"/>
      <c r="J50" s="29"/>
      <c r="K50" s="58"/>
      <c r="L50" s="59"/>
      <c r="M50" s="58">
        <v>37834</v>
      </c>
      <c r="N50" s="29"/>
      <c r="O50" s="6"/>
    </row>
    <row r="51" spans="1:15" ht="15.75">
      <c r="A51" s="28"/>
      <c r="B51" s="29"/>
      <c r="C51" s="29"/>
      <c r="D51" s="29"/>
      <c r="E51" s="29"/>
      <c r="F51" s="29"/>
      <c r="G51" s="29"/>
      <c r="H51" s="29"/>
      <c r="I51" s="29"/>
      <c r="J51" s="29"/>
      <c r="K51" s="29"/>
      <c r="L51" s="29"/>
      <c r="M51" s="60"/>
      <c r="N51" s="29"/>
      <c r="O51" s="6"/>
    </row>
    <row r="52" spans="1:15" ht="15.75">
      <c r="A52" s="7"/>
      <c r="B52" s="9"/>
      <c r="C52" s="9"/>
      <c r="D52" s="9"/>
      <c r="E52" s="9"/>
      <c r="F52" s="9"/>
      <c r="G52" s="9"/>
      <c r="H52" s="9"/>
      <c r="I52" s="9"/>
      <c r="J52" s="9"/>
      <c r="K52" s="9"/>
      <c r="L52" s="9"/>
      <c r="M52" s="61"/>
      <c r="N52" s="9"/>
      <c r="O52" s="6"/>
    </row>
    <row r="53" spans="1:15" ht="16.5" thickBot="1">
      <c r="A53" s="134"/>
      <c r="B53" s="135" t="s">
        <v>243</v>
      </c>
      <c r="C53" s="136"/>
      <c r="D53" s="136"/>
      <c r="E53" s="136"/>
      <c r="F53" s="136"/>
      <c r="G53" s="136"/>
      <c r="H53" s="136"/>
      <c r="I53" s="136"/>
      <c r="J53" s="136"/>
      <c r="K53" s="136"/>
      <c r="L53" s="136"/>
      <c r="M53" s="137"/>
      <c r="N53" s="138"/>
      <c r="O53" s="6"/>
    </row>
    <row r="54" spans="1:15" ht="15.75">
      <c r="A54" s="2"/>
      <c r="B54" s="5"/>
      <c r="C54" s="5"/>
      <c r="D54" s="5"/>
      <c r="E54" s="5"/>
      <c r="F54" s="5"/>
      <c r="G54" s="5"/>
      <c r="H54" s="5"/>
      <c r="I54" s="5"/>
      <c r="J54" s="5"/>
      <c r="K54" s="5"/>
      <c r="L54" s="5"/>
      <c r="M54" s="62"/>
      <c r="N54" s="5"/>
      <c r="O54" s="6"/>
    </row>
    <row r="55" spans="1:15" ht="15" customHeight="1">
      <c r="A55" s="7"/>
      <c r="B55" s="63" t="s">
        <v>39</v>
      </c>
      <c r="C55" s="15"/>
      <c r="D55" s="15"/>
      <c r="E55" s="9"/>
      <c r="F55" s="9"/>
      <c r="G55" s="9"/>
      <c r="H55" s="9"/>
      <c r="I55" s="9"/>
      <c r="J55" s="9"/>
      <c r="K55" s="9"/>
      <c r="L55" s="9"/>
      <c r="M55" s="64"/>
      <c r="N55" s="9"/>
      <c r="O55" s="6"/>
    </row>
    <row r="56" spans="1:15" ht="15.75">
      <c r="A56" s="7"/>
      <c r="B56" s="15"/>
      <c r="C56" s="15"/>
      <c r="D56" s="15"/>
      <c r="E56" s="9"/>
      <c r="F56" s="9"/>
      <c r="G56" s="9"/>
      <c r="H56" s="9"/>
      <c r="I56" s="9"/>
      <c r="J56" s="9"/>
      <c r="K56" s="9"/>
      <c r="L56" s="9"/>
      <c r="M56" s="64"/>
      <c r="N56" s="9"/>
      <c r="O56" s="6"/>
    </row>
    <row r="57" spans="1:15" s="156" customFormat="1" ht="47.25">
      <c r="A57" s="150"/>
      <c r="B57" s="151" t="s">
        <v>40</v>
      </c>
      <c r="C57" s="152" t="s">
        <v>167</v>
      </c>
      <c r="D57" s="152"/>
      <c r="E57" s="152" t="s">
        <v>180</v>
      </c>
      <c r="F57" s="152"/>
      <c r="G57" s="152" t="s">
        <v>191</v>
      </c>
      <c r="H57" s="152"/>
      <c r="I57" s="152" t="s">
        <v>204</v>
      </c>
      <c r="J57" s="152"/>
      <c r="K57" s="152" t="s">
        <v>209</v>
      </c>
      <c r="L57" s="152"/>
      <c r="M57" s="153" t="s">
        <v>222</v>
      </c>
      <c r="N57" s="154"/>
      <c r="O57" s="155"/>
    </row>
    <row r="58" spans="1:15" ht="15.75">
      <c r="A58" s="28"/>
      <c r="B58" s="29" t="s">
        <v>41</v>
      </c>
      <c r="C58" s="65">
        <v>73021</v>
      </c>
      <c r="D58" s="65"/>
      <c r="E58" s="65">
        <v>93004</v>
      </c>
      <c r="F58" s="65"/>
      <c r="G58" s="65">
        <f>14716+63+10+9+11</f>
        <v>14809</v>
      </c>
      <c r="H58" s="65"/>
      <c r="I58" s="65">
        <f>5327+92</f>
        <v>5419</v>
      </c>
      <c r="J58" s="65"/>
      <c r="K58" s="65">
        <v>0</v>
      </c>
      <c r="L58" s="65"/>
      <c r="M58" s="66">
        <f>E58-G58+I58-K58</f>
        <v>83614</v>
      </c>
      <c r="N58" s="29"/>
      <c r="O58" s="6"/>
    </row>
    <row r="59" spans="1:15" ht="15.75">
      <c r="A59" s="28"/>
      <c r="B59" s="29" t="s">
        <v>42</v>
      </c>
      <c r="C59" s="65">
        <v>506</v>
      </c>
      <c r="D59" s="65"/>
      <c r="E59" s="65">
        <v>0</v>
      </c>
      <c r="F59" s="65"/>
      <c r="G59" s="65">
        <v>14</v>
      </c>
      <c r="H59" s="65"/>
      <c r="I59" s="65">
        <v>14</v>
      </c>
      <c r="J59" s="65"/>
      <c r="K59" s="65">
        <v>0</v>
      </c>
      <c r="L59" s="65"/>
      <c r="M59" s="66">
        <f>E59-G59+I59-K59</f>
        <v>0</v>
      </c>
      <c r="N59" s="29"/>
      <c r="O59" s="6"/>
    </row>
    <row r="60" spans="1:15" ht="15.75">
      <c r="A60" s="28"/>
      <c r="B60" s="29"/>
      <c r="C60" s="65"/>
      <c r="D60" s="65"/>
      <c r="E60" s="65"/>
      <c r="F60" s="65"/>
      <c r="G60" s="65"/>
      <c r="H60" s="65"/>
      <c r="I60" s="65"/>
      <c r="J60" s="65"/>
      <c r="K60" s="65"/>
      <c r="L60" s="65"/>
      <c r="M60" s="66"/>
      <c r="N60" s="29"/>
      <c r="O60" s="6"/>
    </row>
    <row r="61" spans="1:15" ht="15.75">
      <c r="A61" s="28"/>
      <c r="B61" s="29" t="s">
        <v>43</v>
      </c>
      <c r="C61" s="65">
        <f>SUM(C58:C60)</f>
        <v>73527</v>
      </c>
      <c r="D61" s="65"/>
      <c r="E61" s="65">
        <f>SUM(E58:E60)</f>
        <v>93004</v>
      </c>
      <c r="F61" s="65"/>
      <c r="G61" s="65">
        <f>SUM(G58:G60)</f>
        <v>14823</v>
      </c>
      <c r="H61" s="65"/>
      <c r="I61" s="65">
        <f>SUM(I58:I60)</f>
        <v>5433</v>
      </c>
      <c r="J61" s="65"/>
      <c r="K61" s="65">
        <f>SUM(K58:K60)</f>
        <v>0</v>
      </c>
      <c r="L61" s="65"/>
      <c r="M61" s="67">
        <f>SUM(M58:M60)</f>
        <v>83614</v>
      </c>
      <c r="N61" s="29"/>
      <c r="O61" s="6"/>
    </row>
    <row r="62" spans="1:15" ht="15.75">
      <c r="A62" s="28"/>
      <c r="B62" s="29"/>
      <c r="C62" s="65"/>
      <c r="D62" s="65"/>
      <c r="E62" s="65"/>
      <c r="F62" s="65"/>
      <c r="G62" s="65"/>
      <c r="H62" s="65"/>
      <c r="I62" s="65"/>
      <c r="J62" s="65"/>
      <c r="K62" s="65"/>
      <c r="L62" s="65"/>
      <c r="M62" s="67"/>
      <c r="N62" s="29"/>
      <c r="O62" s="6"/>
    </row>
    <row r="63" spans="1:15" ht="15.75">
      <c r="A63" s="7"/>
      <c r="B63" s="144" t="s">
        <v>44</v>
      </c>
      <c r="C63" s="68"/>
      <c r="D63" s="68"/>
      <c r="E63" s="68"/>
      <c r="F63" s="68"/>
      <c r="G63" s="69"/>
      <c r="H63" s="68"/>
      <c r="I63" s="68"/>
      <c r="J63" s="68"/>
      <c r="K63" s="68"/>
      <c r="L63" s="68"/>
      <c r="M63" s="70"/>
      <c r="N63" s="9"/>
      <c r="O63" s="6"/>
    </row>
    <row r="64" spans="1:15" ht="15.75">
      <c r="A64" s="7"/>
      <c r="B64" s="9"/>
      <c r="C64" s="68"/>
      <c r="D64" s="68"/>
      <c r="E64" s="68"/>
      <c r="F64" s="68"/>
      <c r="G64" s="68"/>
      <c r="H64" s="68"/>
      <c r="I64" s="68"/>
      <c r="J64" s="68"/>
      <c r="K64" s="68"/>
      <c r="L64" s="68"/>
      <c r="M64" s="70"/>
      <c r="N64" s="9"/>
      <c r="O64" s="6"/>
    </row>
    <row r="65" spans="1:15" ht="15.75">
      <c r="A65" s="28"/>
      <c r="B65" s="29" t="s">
        <v>41</v>
      </c>
      <c r="C65" s="65">
        <v>79997</v>
      </c>
      <c r="D65" s="65"/>
      <c r="E65" s="66">
        <v>93096</v>
      </c>
      <c r="F65" s="65"/>
      <c r="G65" s="65">
        <f>15248+900</f>
        <v>16148</v>
      </c>
      <c r="H65" s="65"/>
      <c r="I65" s="65">
        <f>6156+2182</f>
        <v>8338</v>
      </c>
      <c r="J65" s="65"/>
      <c r="K65" s="65"/>
      <c r="L65" s="65"/>
      <c r="M65" s="66">
        <f>E65-G65+I65-K65</f>
        <v>85286</v>
      </c>
      <c r="N65" s="29"/>
      <c r="O65" s="6"/>
    </row>
    <row r="66" spans="1:15" ht="15.75">
      <c r="A66" s="28"/>
      <c r="B66" s="29" t="s">
        <v>42</v>
      </c>
      <c r="C66" s="65">
        <v>611</v>
      </c>
      <c r="D66" s="65"/>
      <c r="E66" s="66">
        <v>0</v>
      </c>
      <c r="F66" s="65"/>
      <c r="G66" s="65">
        <f>24+6</f>
        <v>30</v>
      </c>
      <c r="H66" s="65"/>
      <c r="I66" s="65">
        <v>30</v>
      </c>
      <c r="J66" s="65"/>
      <c r="K66" s="65"/>
      <c r="L66" s="65"/>
      <c r="M66" s="66">
        <f>E66-G66+I66-K66</f>
        <v>0</v>
      </c>
      <c r="N66" s="29"/>
      <c r="O66" s="6"/>
    </row>
    <row r="67" spans="1:15" ht="15.75">
      <c r="A67" s="28"/>
      <c r="B67" s="65"/>
      <c r="C67" s="65"/>
      <c r="D67" s="65"/>
      <c r="E67" s="66"/>
      <c r="F67" s="65"/>
      <c r="G67" s="65"/>
      <c r="H67" s="65"/>
      <c r="I67" s="65"/>
      <c r="J67" s="65"/>
      <c r="K67" s="65"/>
      <c r="L67" s="65"/>
      <c r="M67" s="66"/>
      <c r="N67" s="29"/>
      <c r="O67" s="6"/>
    </row>
    <row r="68" spans="1:15" ht="15.75">
      <c r="A68" s="28"/>
      <c r="B68" s="29" t="s">
        <v>43</v>
      </c>
      <c r="C68" s="65">
        <f>SUM(C65:C67)</f>
        <v>80608</v>
      </c>
      <c r="D68" s="65"/>
      <c r="E68" s="65">
        <f>E65</f>
        <v>93096</v>
      </c>
      <c r="F68" s="65"/>
      <c r="G68" s="65">
        <f>SUM(G65:G67)</f>
        <v>16178</v>
      </c>
      <c r="H68" s="65"/>
      <c r="I68" s="65">
        <f>SUM(I65:I67)</f>
        <v>8368</v>
      </c>
      <c r="J68" s="65"/>
      <c r="K68" s="65">
        <f>SUM(K65:K67)</f>
        <v>0</v>
      </c>
      <c r="L68" s="65"/>
      <c r="M68" s="65">
        <f>SUM(M65:M67)</f>
        <v>85286</v>
      </c>
      <c r="N68" s="29"/>
      <c r="O68" s="6"/>
    </row>
    <row r="69" spans="1:15" ht="15.75">
      <c r="A69" s="28"/>
      <c r="B69" s="29"/>
      <c r="C69" s="65"/>
      <c r="D69" s="65"/>
      <c r="E69" s="67"/>
      <c r="F69" s="65"/>
      <c r="G69" s="65"/>
      <c r="H69" s="65"/>
      <c r="I69" s="65"/>
      <c r="J69" s="65"/>
      <c r="K69" s="65"/>
      <c r="L69" s="65"/>
      <c r="M69" s="67"/>
      <c r="N69" s="29"/>
      <c r="O69" s="6"/>
    </row>
    <row r="70" spans="1:15" ht="15.75">
      <c r="A70" s="28"/>
      <c r="B70" s="29" t="s">
        <v>45</v>
      </c>
      <c r="C70" s="65">
        <v>0</v>
      </c>
      <c r="D70" s="65"/>
      <c r="E70" s="65">
        <v>0</v>
      </c>
      <c r="F70" s="65"/>
      <c r="G70" s="65"/>
      <c r="H70" s="65"/>
      <c r="I70" s="65"/>
      <c r="J70" s="65"/>
      <c r="K70" s="65"/>
      <c r="L70" s="65"/>
      <c r="M70" s="65">
        <f>E70+G70</f>
        <v>0</v>
      </c>
      <c r="N70" s="29"/>
      <c r="O70" s="6"/>
    </row>
    <row r="71" spans="1:16" ht="15.75">
      <c r="A71" s="28"/>
      <c r="B71" s="29" t="s">
        <v>46</v>
      </c>
      <c r="C71" s="65">
        <v>0</v>
      </c>
      <c r="D71" s="65"/>
      <c r="E71" s="67">
        <v>2926</v>
      </c>
      <c r="F71" s="65"/>
      <c r="G71" s="65"/>
      <c r="H71" s="65"/>
      <c r="I71" s="65">
        <v>0</v>
      </c>
      <c r="J71" s="65"/>
      <c r="K71" s="65"/>
      <c r="L71" s="65"/>
      <c r="M71" s="67">
        <f>E71+I71</f>
        <v>2926</v>
      </c>
      <c r="N71" s="29"/>
      <c r="O71" s="6"/>
      <c r="P71" s="143"/>
    </row>
    <row r="72" spans="1:18" ht="15.75">
      <c r="A72" s="28"/>
      <c r="B72" s="29" t="s">
        <v>47</v>
      </c>
      <c r="C72" s="65">
        <v>40958</v>
      </c>
      <c r="D72" s="65"/>
      <c r="E72" s="67">
        <v>3188</v>
      </c>
      <c r="F72" s="65"/>
      <c r="G72" s="65">
        <f>G68+G61</f>
        <v>31001</v>
      </c>
      <c r="H72" s="65"/>
      <c r="I72" s="65">
        <f>-I68-I61</f>
        <v>-13801</v>
      </c>
      <c r="J72" s="65"/>
      <c r="K72" s="65"/>
      <c r="L72" s="65"/>
      <c r="M72" s="67">
        <f>E72+G88+I72</f>
        <v>19425</v>
      </c>
      <c r="N72" s="29"/>
      <c r="O72" s="6"/>
      <c r="P72" s="131"/>
      <c r="R72" s="132"/>
    </row>
    <row r="73" spans="1:16" ht="15.75">
      <c r="A73" s="28"/>
      <c r="B73" s="29" t="s">
        <v>48</v>
      </c>
      <c r="C73" s="65">
        <v>0</v>
      </c>
      <c r="D73" s="65"/>
      <c r="E73" s="67">
        <v>5805</v>
      </c>
      <c r="F73" s="65"/>
      <c r="G73" s="65"/>
      <c r="H73" s="65"/>
      <c r="I73" s="65">
        <v>-963</v>
      </c>
      <c r="J73" s="65"/>
      <c r="K73" s="65"/>
      <c r="L73" s="65"/>
      <c r="M73" s="67">
        <f>-I73+E73</f>
        <v>6768</v>
      </c>
      <c r="N73" s="29"/>
      <c r="O73" s="6"/>
      <c r="P73" s="132"/>
    </row>
    <row r="74" spans="1:20" ht="15.75">
      <c r="A74" s="28"/>
      <c r="B74" s="29" t="s">
        <v>49</v>
      </c>
      <c r="C74" s="65">
        <v>-95</v>
      </c>
      <c r="D74" s="65"/>
      <c r="E74" s="67">
        <v>-95</v>
      </c>
      <c r="F74" s="65"/>
      <c r="G74" s="65">
        <v>0</v>
      </c>
      <c r="H74" s="65"/>
      <c r="I74" s="65"/>
      <c r="J74" s="65"/>
      <c r="K74" s="65"/>
      <c r="L74" s="65"/>
      <c r="M74" s="67">
        <f>E74+G74</f>
        <v>-95</v>
      </c>
      <c r="N74" s="29"/>
      <c r="O74" s="6"/>
      <c r="P74" s="131"/>
      <c r="R74" s="131"/>
      <c r="T74" s="131"/>
    </row>
    <row r="75" spans="1:16" ht="15.75">
      <c r="A75" s="28"/>
      <c r="B75" s="29" t="s">
        <v>50</v>
      </c>
      <c r="C75" s="65">
        <v>0</v>
      </c>
      <c r="D75" s="65"/>
      <c r="E75" s="67">
        <v>0</v>
      </c>
      <c r="F75" s="65"/>
      <c r="G75" s="65"/>
      <c r="H75" s="65"/>
      <c r="I75" s="141"/>
      <c r="J75" s="65"/>
      <c r="K75" s="65"/>
      <c r="L75" s="65"/>
      <c r="M75" s="67">
        <v>0</v>
      </c>
      <c r="N75" s="29"/>
      <c r="O75" s="6"/>
      <c r="P75" s="132"/>
    </row>
    <row r="76" spans="1:20" ht="15.75">
      <c r="A76" s="28"/>
      <c r="B76" s="29" t="s">
        <v>19</v>
      </c>
      <c r="C76" s="67">
        <f>SUM(C68:C74)+C61</f>
        <v>194998</v>
      </c>
      <c r="D76" s="67"/>
      <c r="E76" s="67">
        <f>SUM(E68:E75)+E61</f>
        <v>197924</v>
      </c>
      <c r="F76" s="65"/>
      <c r="G76" s="65">
        <f>G72-G74</f>
        <v>31001</v>
      </c>
      <c r="H76" s="65"/>
      <c r="I76" s="65"/>
      <c r="J76" s="65"/>
      <c r="K76" s="65"/>
      <c r="L76" s="65"/>
      <c r="M76" s="67">
        <f>SUM(M68:M75)+M61</f>
        <v>197924</v>
      </c>
      <c r="N76" s="29"/>
      <c r="O76" s="6"/>
      <c r="P76" s="132"/>
      <c r="R76" s="131"/>
      <c r="T76" s="131"/>
    </row>
    <row r="77" spans="1:16" ht="15.75">
      <c r="A77" s="28"/>
      <c r="B77" s="65"/>
      <c r="C77" s="65"/>
      <c r="D77" s="65"/>
      <c r="E77" s="65"/>
      <c r="F77" s="65"/>
      <c r="G77" s="65"/>
      <c r="H77" s="65"/>
      <c r="I77" s="65"/>
      <c r="J77" s="65"/>
      <c r="K77" s="65"/>
      <c r="L77" s="65"/>
      <c r="M77" s="65"/>
      <c r="N77" s="29"/>
      <c r="O77" s="6"/>
      <c r="P77" s="132"/>
    </row>
    <row r="78" spans="1:16" ht="15.75">
      <c r="A78" s="7"/>
      <c r="B78" s="68"/>
      <c r="C78" s="9"/>
      <c r="D78" s="9"/>
      <c r="E78" s="9"/>
      <c r="F78" s="9"/>
      <c r="G78" s="20" t="s">
        <v>192</v>
      </c>
      <c r="H78" s="9"/>
      <c r="I78" s="9"/>
      <c r="J78" s="9"/>
      <c r="K78" s="23"/>
      <c r="L78" s="9"/>
      <c r="M78" s="20" t="s">
        <v>192</v>
      </c>
      <c r="N78" s="9"/>
      <c r="O78" s="6"/>
      <c r="P78" s="132"/>
    </row>
    <row r="79" spans="1:19" ht="15.75">
      <c r="A79" s="7"/>
      <c r="B79" s="63" t="s">
        <v>51</v>
      </c>
      <c r="C79" s="17"/>
      <c r="D79" s="17" t="s">
        <v>178</v>
      </c>
      <c r="E79" s="17" t="s">
        <v>181</v>
      </c>
      <c r="F79" s="17"/>
      <c r="G79" s="20" t="s">
        <v>193</v>
      </c>
      <c r="H79" s="17"/>
      <c r="I79" s="17" t="s">
        <v>178</v>
      </c>
      <c r="J79" s="20"/>
      <c r="K79" s="20" t="s">
        <v>181</v>
      </c>
      <c r="L79" s="20"/>
      <c r="M79" s="20" t="s">
        <v>223</v>
      </c>
      <c r="N79" s="17"/>
      <c r="O79" s="6"/>
      <c r="P79" s="131"/>
      <c r="R79" s="132"/>
      <c r="S79" s="131"/>
    </row>
    <row r="80" spans="1:15" ht="15.75">
      <c r="A80" s="28"/>
      <c r="B80" s="29" t="s">
        <v>52</v>
      </c>
      <c r="C80" s="29"/>
      <c r="D80" s="29">
        <v>0</v>
      </c>
      <c r="E80" s="29">
        <v>0</v>
      </c>
      <c r="F80" s="29"/>
      <c r="G80" s="65">
        <f>SUM(C80:E80)</f>
        <v>0</v>
      </c>
      <c r="H80" s="29"/>
      <c r="I80" s="29">
        <v>0</v>
      </c>
      <c r="J80" s="29"/>
      <c r="K80" s="65">
        <f>SUM(G80:I80)</f>
        <v>0</v>
      </c>
      <c r="L80" s="29"/>
      <c r="M80" s="66">
        <v>0</v>
      </c>
      <c r="N80" s="29"/>
      <c r="O80" s="6"/>
    </row>
    <row r="81" spans="1:15" ht="15.75">
      <c r="A81" s="28"/>
      <c r="B81" s="29" t="s">
        <v>53</v>
      </c>
      <c r="C81" s="53"/>
      <c r="D81" s="29">
        <f>14716+30</f>
        <v>14746</v>
      </c>
      <c r="E81" s="29">
        <v>15248</v>
      </c>
      <c r="F81" s="29"/>
      <c r="G81" s="65">
        <f>E81+D81</f>
        <v>29994</v>
      </c>
      <c r="H81" s="29"/>
      <c r="I81" s="29"/>
      <c r="J81" s="29"/>
      <c r="K81" s="65">
        <v>0</v>
      </c>
      <c r="L81" s="29"/>
      <c r="M81" s="66"/>
      <c r="N81" s="29"/>
      <c r="O81" s="6"/>
    </row>
    <row r="82" spans="1:15" ht="15.75">
      <c r="A82" s="28"/>
      <c r="B82" s="29" t="s">
        <v>54</v>
      </c>
      <c r="C82" s="29"/>
      <c r="D82" s="29"/>
      <c r="E82" s="29"/>
      <c r="F82" s="29"/>
      <c r="G82" s="65"/>
      <c r="H82" s="29"/>
      <c r="I82" s="29">
        <f>1443+287+1357+291+1371+309+21-1978</f>
        <v>3101</v>
      </c>
      <c r="J82" s="29"/>
      <c r="K82" s="65">
        <f>3374+247+3453+263+3410+269+8-7457+60+77+57+2</f>
        <v>3763</v>
      </c>
      <c r="L82" s="29"/>
      <c r="M82" s="66">
        <f>K82+I82</f>
        <v>6864</v>
      </c>
      <c r="N82" s="29"/>
      <c r="O82" s="6"/>
    </row>
    <row r="83" spans="1:15" ht="15.75">
      <c r="A83" s="28"/>
      <c r="B83" s="29" t="s">
        <v>55</v>
      </c>
      <c r="C83" s="29"/>
      <c r="D83" s="29"/>
      <c r="E83" s="29"/>
      <c r="F83" s="29"/>
      <c r="G83" s="65"/>
      <c r="H83" s="29"/>
      <c r="I83" s="29"/>
      <c r="J83" s="29"/>
      <c r="K83" s="65"/>
      <c r="L83" s="29"/>
      <c r="M83" s="66">
        <f>58+55+122</f>
        <v>235</v>
      </c>
      <c r="N83" s="29"/>
      <c r="O83" s="6"/>
    </row>
    <row r="84" spans="1:20" ht="15.75">
      <c r="A84" s="28"/>
      <c r="B84" s="29" t="s">
        <v>56</v>
      </c>
      <c r="C84" s="29"/>
      <c r="D84" s="29"/>
      <c r="E84" s="29"/>
      <c r="F84" s="29"/>
      <c r="G84" s="65"/>
      <c r="H84" s="29"/>
      <c r="I84" s="29"/>
      <c r="J84" s="29"/>
      <c r="K84" s="65"/>
      <c r="L84" s="29"/>
      <c r="M84" s="66">
        <v>0</v>
      </c>
      <c r="N84" s="29"/>
      <c r="O84" s="6"/>
      <c r="P84" s="132"/>
      <c r="R84" s="132"/>
      <c r="T84" s="132"/>
    </row>
    <row r="85" spans="1:20" ht="15.75">
      <c r="A85" s="28"/>
      <c r="B85" s="29" t="s">
        <v>57</v>
      </c>
      <c r="C85" s="29"/>
      <c r="D85" s="29"/>
      <c r="E85" s="29"/>
      <c r="F85" s="29"/>
      <c r="G85" s="65"/>
      <c r="H85" s="29"/>
      <c r="I85" s="29"/>
      <c r="J85" s="29"/>
      <c r="K85" s="65"/>
      <c r="L85" s="29"/>
      <c r="M85" s="66">
        <v>0</v>
      </c>
      <c r="N85" s="29"/>
      <c r="O85" s="6"/>
      <c r="P85" s="132"/>
      <c r="R85" s="132"/>
      <c r="T85" s="132"/>
    </row>
    <row r="86" spans="1:15" ht="15.75">
      <c r="A86" s="28"/>
      <c r="B86" s="29" t="s">
        <v>58</v>
      </c>
      <c r="C86" s="29"/>
      <c r="D86" s="65">
        <f>SUM(D80:D85)</f>
        <v>14746</v>
      </c>
      <c r="E86" s="65">
        <f>SUM(E80:E85)</f>
        <v>15248</v>
      </c>
      <c r="F86" s="29"/>
      <c r="G86" s="65">
        <f>SUM(G80:G85)</f>
        <v>29994</v>
      </c>
      <c r="H86" s="29"/>
      <c r="I86" s="65">
        <f>SUM(I80:I85)</f>
        <v>3101</v>
      </c>
      <c r="J86" s="29"/>
      <c r="K86" s="65">
        <f>SUM(K80:K85)</f>
        <v>3763</v>
      </c>
      <c r="L86" s="29"/>
      <c r="M86" s="67">
        <f>SUM(M80:M85)</f>
        <v>7099</v>
      </c>
      <c r="N86" s="29"/>
      <c r="O86" s="6"/>
    </row>
    <row r="87" spans="1:20" ht="15.75">
      <c r="A87" s="28"/>
      <c r="B87" s="29" t="s">
        <v>59</v>
      </c>
      <c r="C87" s="29"/>
      <c r="D87" s="65">
        <f>G59</f>
        <v>14</v>
      </c>
      <c r="E87" s="65">
        <f>G66</f>
        <v>30</v>
      </c>
      <c r="F87" s="29"/>
      <c r="G87" s="65">
        <f>E87+D87</f>
        <v>44</v>
      </c>
      <c r="H87" s="29"/>
      <c r="I87" s="65">
        <v>0</v>
      </c>
      <c r="J87" s="29"/>
      <c r="K87" s="65">
        <v>0</v>
      </c>
      <c r="L87" s="29"/>
      <c r="M87" s="66">
        <f>-G87</f>
        <v>-44</v>
      </c>
      <c r="N87" s="29"/>
      <c r="O87" s="6"/>
      <c r="P87" s="132"/>
      <c r="R87" s="132"/>
      <c r="T87" s="132"/>
    </row>
    <row r="88" spans="1:15" ht="15.75">
      <c r="A88" s="28"/>
      <c r="B88" s="29" t="s">
        <v>60</v>
      </c>
      <c r="C88" s="29"/>
      <c r="D88" s="65">
        <f>D86+D87</f>
        <v>14760</v>
      </c>
      <c r="E88" s="65">
        <f>E86+E87</f>
        <v>15278</v>
      </c>
      <c r="F88" s="29"/>
      <c r="G88" s="65">
        <f>G86+G87</f>
        <v>30038</v>
      </c>
      <c r="H88" s="29"/>
      <c r="I88" s="65">
        <f>I86+I87</f>
        <v>3101</v>
      </c>
      <c r="J88" s="29"/>
      <c r="K88" s="65">
        <f>K86+K87</f>
        <v>3763</v>
      </c>
      <c r="L88" s="29"/>
      <c r="M88" s="67">
        <f>M86+M87</f>
        <v>7055</v>
      </c>
      <c r="N88" s="29"/>
      <c r="O88" s="6"/>
    </row>
    <row r="89" spans="1:15" ht="15.75">
      <c r="A89" s="28"/>
      <c r="B89" s="157" t="s">
        <v>61</v>
      </c>
      <c r="C89" s="72"/>
      <c r="D89" s="72"/>
      <c r="E89" s="29"/>
      <c r="F89" s="29"/>
      <c r="G89" s="29"/>
      <c r="H89" s="29"/>
      <c r="I89" s="29"/>
      <c r="J89" s="29"/>
      <c r="K89" s="65"/>
      <c r="L89" s="29"/>
      <c r="M89" s="66"/>
      <c r="N89" s="29"/>
      <c r="O89" s="6"/>
    </row>
    <row r="90" spans="1:15" ht="15.75">
      <c r="A90" s="28">
        <v>1</v>
      </c>
      <c r="B90" s="29" t="s">
        <v>62</v>
      </c>
      <c r="C90" s="29"/>
      <c r="D90" s="29"/>
      <c r="E90" s="29"/>
      <c r="F90" s="29"/>
      <c r="G90" s="29"/>
      <c r="H90" s="29"/>
      <c r="I90" s="29"/>
      <c r="J90" s="29"/>
      <c r="K90" s="29"/>
      <c r="L90" s="29"/>
      <c r="M90" s="66">
        <v>-4</v>
      </c>
      <c r="N90" s="29"/>
      <c r="O90" s="6"/>
    </row>
    <row r="91" spans="1:15" ht="15.75">
      <c r="A91" s="28">
        <v>2</v>
      </c>
      <c r="B91" s="29" t="s">
        <v>63</v>
      </c>
      <c r="C91" s="29"/>
      <c r="D91" s="29"/>
      <c r="E91" s="29"/>
      <c r="F91" s="29"/>
      <c r="G91" s="29"/>
      <c r="H91" s="29"/>
      <c r="I91" s="29"/>
      <c r="J91" s="29"/>
      <c r="K91" s="29"/>
      <c r="L91" s="29"/>
      <c r="M91" s="66">
        <f>-236-71</f>
        <v>-307</v>
      </c>
      <c r="N91" s="29"/>
      <c r="O91" s="6"/>
    </row>
    <row r="92" spans="1:15" ht="15.75">
      <c r="A92" s="28">
        <v>3</v>
      </c>
      <c r="B92" s="29" t="s">
        <v>64</v>
      </c>
      <c r="C92" s="29"/>
      <c r="D92" s="29"/>
      <c r="E92" s="29"/>
      <c r="F92" s="29"/>
      <c r="G92" s="29"/>
      <c r="H92" s="29"/>
      <c r="I92" s="29"/>
      <c r="J92" s="29"/>
      <c r="K92" s="29"/>
      <c r="L92" s="29"/>
      <c r="M92" s="66">
        <v>-1719</v>
      </c>
      <c r="N92" s="29"/>
      <c r="O92" s="6"/>
    </row>
    <row r="93" spans="1:15" ht="15.75">
      <c r="A93" s="28">
        <v>4</v>
      </c>
      <c r="B93" s="29" t="s">
        <v>227</v>
      </c>
      <c r="C93" s="29"/>
      <c r="D93" s="29"/>
      <c r="E93" s="29"/>
      <c r="F93" s="29"/>
      <c r="G93" s="29"/>
      <c r="H93" s="29"/>
      <c r="I93" s="29"/>
      <c r="J93" s="29"/>
      <c r="K93" s="29"/>
      <c r="L93" s="29"/>
      <c r="M93" s="66">
        <v>-159</v>
      </c>
      <c r="N93" s="29"/>
      <c r="O93" s="6"/>
    </row>
    <row r="94" spans="1:15" ht="15.75">
      <c r="A94" s="28">
        <v>4</v>
      </c>
      <c r="B94" s="29" t="s">
        <v>65</v>
      </c>
      <c r="C94" s="29"/>
      <c r="D94" s="29"/>
      <c r="E94" s="29"/>
      <c r="F94" s="29"/>
      <c r="G94" s="29"/>
      <c r="H94" s="29"/>
      <c r="I94" s="29"/>
      <c r="J94" s="29"/>
      <c r="K94" s="29"/>
      <c r="L94" s="29"/>
      <c r="M94" s="66">
        <v>-5</v>
      </c>
      <c r="N94" s="29"/>
      <c r="O94" s="6"/>
    </row>
    <row r="95" spans="1:15" ht="15.75">
      <c r="A95" s="28">
        <v>5</v>
      </c>
      <c r="B95" s="29" t="s">
        <v>66</v>
      </c>
      <c r="C95" s="29"/>
      <c r="D95" s="29"/>
      <c r="E95" s="29"/>
      <c r="F95" s="29"/>
      <c r="G95" s="29"/>
      <c r="H95" s="29"/>
      <c r="I95" s="29"/>
      <c r="J95" s="29"/>
      <c r="K95" s="29"/>
      <c r="L95" s="29"/>
      <c r="M95" s="66">
        <v>-187</v>
      </c>
      <c r="N95" s="29"/>
      <c r="O95" s="6"/>
    </row>
    <row r="96" spans="1:15" ht="15.75">
      <c r="A96" s="28">
        <v>6</v>
      </c>
      <c r="B96" s="29" t="s">
        <v>67</v>
      </c>
      <c r="C96" s="29"/>
      <c r="D96" s="29"/>
      <c r="E96" s="29"/>
      <c r="F96" s="29"/>
      <c r="G96" s="29"/>
      <c r="H96" s="29"/>
      <c r="I96" s="29"/>
      <c r="J96" s="29"/>
      <c r="K96" s="29"/>
      <c r="L96" s="29"/>
      <c r="M96" s="66">
        <v>-134</v>
      </c>
      <c r="N96" s="29"/>
      <c r="O96" s="6"/>
    </row>
    <row r="97" spans="1:15" ht="15.75">
      <c r="A97" s="28">
        <v>7</v>
      </c>
      <c r="B97" s="29" t="s">
        <v>68</v>
      </c>
      <c r="C97" s="29"/>
      <c r="D97" s="29"/>
      <c r="E97" s="29"/>
      <c r="F97" s="29"/>
      <c r="G97" s="29"/>
      <c r="H97" s="29"/>
      <c r="I97" s="29"/>
      <c r="J97" s="29"/>
      <c r="K97" s="29"/>
      <c r="L97" s="29"/>
      <c r="M97" s="66">
        <v>0</v>
      </c>
      <c r="N97" s="29"/>
      <c r="O97" s="6"/>
    </row>
    <row r="98" spans="1:15" ht="15.75">
      <c r="A98" s="28">
        <v>8</v>
      </c>
      <c r="B98" s="29" t="s">
        <v>69</v>
      </c>
      <c r="C98" s="29"/>
      <c r="D98" s="29"/>
      <c r="E98" s="29"/>
      <c r="F98" s="29"/>
      <c r="G98" s="29"/>
      <c r="H98" s="29"/>
      <c r="I98" s="29"/>
      <c r="J98" s="29"/>
      <c r="K98" s="65">
        <f>-M98</f>
        <v>963</v>
      </c>
      <c r="L98" s="29"/>
      <c r="M98" s="66">
        <f>I73</f>
        <v>-963</v>
      </c>
      <c r="N98" s="29"/>
      <c r="O98" s="6"/>
    </row>
    <row r="99" spans="1:15" ht="15.75">
      <c r="A99" s="28">
        <v>9</v>
      </c>
      <c r="B99" s="29" t="s">
        <v>46</v>
      </c>
      <c r="C99" s="29"/>
      <c r="D99" s="29"/>
      <c r="E99" s="29"/>
      <c r="F99" s="29"/>
      <c r="G99" s="29"/>
      <c r="H99" s="29"/>
      <c r="I99" s="29"/>
      <c r="J99" s="29"/>
      <c r="K99" s="65">
        <f>-M99</f>
        <v>0</v>
      </c>
      <c r="L99" s="29"/>
      <c r="M99" s="66">
        <v>0</v>
      </c>
      <c r="N99" s="29"/>
      <c r="O99" s="6"/>
    </row>
    <row r="100" spans="1:15" ht="15.75">
      <c r="A100" s="28">
        <v>10</v>
      </c>
      <c r="B100" s="29" t="s">
        <v>228</v>
      </c>
      <c r="C100" s="29"/>
      <c r="D100" s="29"/>
      <c r="E100" s="29"/>
      <c r="F100" s="29"/>
      <c r="G100" s="29"/>
      <c r="H100" s="29"/>
      <c r="I100" s="29"/>
      <c r="J100" s="29"/>
      <c r="K100" s="29"/>
      <c r="L100" s="29"/>
      <c r="M100" s="66">
        <v>-275</v>
      </c>
      <c r="N100" s="29"/>
      <c r="O100" s="6"/>
    </row>
    <row r="101" spans="1:15" ht="15.75">
      <c r="A101" s="28">
        <v>11</v>
      </c>
      <c r="B101" s="29" t="s">
        <v>71</v>
      </c>
      <c r="C101" s="29"/>
      <c r="D101" s="29"/>
      <c r="E101" s="29"/>
      <c r="F101" s="29"/>
      <c r="G101" s="29"/>
      <c r="H101" s="29"/>
      <c r="I101" s="29"/>
      <c r="J101" s="29"/>
      <c r="K101" s="29"/>
      <c r="L101" s="29"/>
      <c r="M101" s="66">
        <f>SUM(M88:M100)*-1</f>
        <v>-3302</v>
      </c>
      <c r="N101" s="29"/>
      <c r="O101" s="6"/>
    </row>
    <row r="102" spans="1:16" ht="15.75">
      <c r="A102" s="28"/>
      <c r="B102" s="157" t="s">
        <v>72</v>
      </c>
      <c r="C102" s="72"/>
      <c r="D102" s="72"/>
      <c r="E102" s="29"/>
      <c r="F102" s="29"/>
      <c r="G102" s="29"/>
      <c r="H102" s="29"/>
      <c r="I102" s="29"/>
      <c r="J102" s="29"/>
      <c r="K102" s="29"/>
      <c r="L102" s="29"/>
      <c r="M102" s="73"/>
      <c r="N102" s="29"/>
      <c r="O102" s="6"/>
      <c r="P102" s="132"/>
    </row>
    <row r="103" spans="1:15" ht="15.75">
      <c r="A103" s="28"/>
      <c r="B103" s="74" t="s">
        <v>73</v>
      </c>
      <c r="C103" s="72"/>
      <c r="D103" s="72"/>
      <c r="E103" s="29"/>
      <c r="F103" s="29"/>
      <c r="G103" s="29"/>
      <c r="H103" s="29"/>
      <c r="I103" s="29"/>
      <c r="J103" s="29"/>
      <c r="K103" s="65">
        <f>E72</f>
        <v>3188</v>
      </c>
      <c r="L103" s="29"/>
      <c r="M103" s="73"/>
      <c r="N103" s="29"/>
      <c r="O103" s="6"/>
    </row>
    <row r="104" spans="1:15" ht="15.75">
      <c r="A104" s="28"/>
      <c r="B104" s="74" t="s">
        <v>74</v>
      </c>
      <c r="C104" s="72"/>
      <c r="D104" s="72"/>
      <c r="E104" s="29"/>
      <c r="F104" s="29"/>
      <c r="G104" s="29"/>
      <c r="H104" s="29"/>
      <c r="I104" s="29"/>
      <c r="J104" s="29"/>
      <c r="K104" s="65">
        <f>G88</f>
        <v>30038</v>
      </c>
      <c r="L104" s="29"/>
      <c r="M104" s="73"/>
      <c r="N104" s="29"/>
      <c r="O104" s="6"/>
    </row>
    <row r="105" spans="1:15" ht="15.75">
      <c r="A105" s="142"/>
      <c r="B105" s="29" t="s">
        <v>75</v>
      </c>
      <c r="C105" s="72"/>
      <c r="D105" s="72"/>
      <c r="E105" s="29"/>
      <c r="F105" s="29"/>
      <c r="G105" s="29"/>
      <c r="H105" s="29"/>
      <c r="I105" s="29"/>
      <c r="J105" s="29"/>
      <c r="K105" s="65">
        <f>-I68-I61</f>
        <v>-13801</v>
      </c>
      <c r="L105" s="29"/>
      <c r="M105" s="73"/>
      <c r="N105" s="29"/>
      <c r="O105" s="6"/>
    </row>
    <row r="106" spans="1:15" ht="15.75">
      <c r="A106" s="28"/>
      <c r="B106" s="29" t="s">
        <v>76</v>
      </c>
      <c r="C106" s="72"/>
      <c r="D106" s="72"/>
      <c r="E106" s="29"/>
      <c r="F106" s="29"/>
      <c r="G106" s="29"/>
      <c r="H106" s="29"/>
      <c r="I106" s="29"/>
      <c r="J106" s="29"/>
      <c r="K106" s="65">
        <v>0</v>
      </c>
      <c r="L106" s="65"/>
      <c r="M106" s="66"/>
      <c r="N106" s="29"/>
      <c r="O106" s="6"/>
    </row>
    <row r="107" spans="1:15" ht="15.75">
      <c r="A107" s="28"/>
      <c r="B107" s="29" t="s">
        <v>77</v>
      </c>
      <c r="C107" s="29"/>
      <c r="D107" s="29"/>
      <c r="E107" s="29"/>
      <c r="F107" s="29"/>
      <c r="G107" s="29"/>
      <c r="H107" s="29"/>
      <c r="I107" s="29"/>
      <c r="J107" s="29"/>
      <c r="K107" s="65">
        <v>0</v>
      </c>
      <c r="L107" s="65"/>
      <c r="M107" s="66"/>
      <c r="N107" s="29"/>
      <c r="O107" s="6"/>
    </row>
    <row r="108" spans="1:15" ht="15.75">
      <c r="A108" s="28"/>
      <c r="B108" s="29" t="s">
        <v>78</v>
      </c>
      <c r="C108" s="29"/>
      <c r="D108" s="29"/>
      <c r="E108" s="29"/>
      <c r="F108" s="29"/>
      <c r="G108" s="29"/>
      <c r="H108" s="29"/>
      <c r="I108" s="29"/>
      <c r="J108" s="29"/>
      <c r="K108" s="65">
        <v>0</v>
      </c>
      <c r="L108" s="65"/>
      <c r="M108" s="66"/>
      <c r="N108" s="29"/>
      <c r="O108" s="6"/>
    </row>
    <row r="109" spans="1:15" ht="15.75">
      <c r="A109" s="28"/>
      <c r="B109" s="29" t="s">
        <v>79</v>
      </c>
      <c r="C109" s="29"/>
      <c r="D109" s="29"/>
      <c r="E109" s="29"/>
      <c r="F109" s="29"/>
      <c r="G109" s="29"/>
      <c r="H109" s="29"/>
      <c r="I109" s="29"/>
      <c r="J109" s="29"/>
      <c r="K109" s="65">
        <v>0</v>
      </c>
      <c r="L109" s="65"/>
      <c r="M109" s="66"/>
      <c r="N109" s="29"/>
      <c r="O109" s="6"/>
    </row>
    <row r="110" spans="1:15" ht="15.75">
      <c r="A110" s="28"/>
      <c r="B110" s="29" t="s">
        <v>80</v>
      </c>
      <c r="C110" s="29"/>
      <c r="D110" s="29"/>
      <c r="E110" s="29"/>
      <c r="F110" s="29"/>
      <c r="G110" s="29"/>
      <c r="H110" s="29"/>
      <c r="I110" s="29"/>
      <c r="J110" s="29"/>
      <c r="K110" s="65">
        <v>0</v>
      </c>
      <c r="L110" s="65"/>
      <c r="M110" s="66"/>
      <c r="N110" s="29"/>
      <c r="O110" s="6"/>
    </row>
    <row r="111" spans="1:15" ht="15.75">
      <c r="A111" s="28"/>
      <c r="B111" s="29" t="s">
        <v>81</v>
      </c>
      <c r="C111" s="29"/>
      <c r="D111" s="29"/>
      <c r="E111" s="29"/>
      <c r="F111" s="29"/>
      <c r="G111" s="29"/>
      <c r="H111" s="29"/>
      <c r="I111" s="29"/>
      <c r="J111" s="29"/>
      <c r="K111" s="65">
        <v>0</v>
      </c>
      <c r="L111" s="65"/>
      <c r="M111" s="66"/>
      <c r="N111" s="29"/>
      <c r="O111" s="6"/>
    </row>
    <row r="112" spans="1:15" ht="15.75">
      <c r="A112" s="28"/>
      <c r="B112" s="29" t="s">
        <v>82</v>
      </c>
      <c r="C112" s="29"/>
      <c r="D112" s="29"/>
      <c r="E112" s="29"/>
      <c r="F112" s="29"/>
      <c r="G112" s="29"/>
      <c r="H112" s="29"/>
      <c r="I112" s="29"/>
      <c r="J112" s="29"/>
      <c r="K112" s="65">
        <f>SUM(K105:K111)</f>
        <v>-13801</v>
      </c>
      <c r="L112" s="65"/>
      <c r="M112" s="65">
        <f>SUM(M89:M101)</f>
        <v>-7055</v>
      </c>
      <c r="N112" s="29"/>
      <c r="O112" s="6"/>
    </row>
    <row r="113" spans="1:15" ht="15.75">
      <c r="A113" s="28"/>
      <c r="B113" s="29" t="s">
        <v>83</v>
      </c>
      <c r="C113" s="29"/>
      <c r="D113" s="29"/>
      <c r="E113" s="29"/>
      <c r="F113" s="29"/>
      <c r="G113" s="29"/>
      <c r="H113" s="29"/>
      <c r="I113" s="29"/>
      <c r="J113" s="29"/>
      <c r="K113" s="65">
        <f>SUM(K103:K111)+SUM(K98:K99)</f>
        <v>20388</v>
      </c>
      <c r="L113" s="65"/>
      <c r="M113" s="65">
        <f>M88+M112</f>
        <v>0</v>
      </c>
      <c r="N113" s="29"/>
      <c r="O113" s="6"/>
    </row>
    <row r="114" spans="1:15" ht="15.75">
      <c r="A114" s="28"/>
      <c r="B114" s="29"/>
      <c r="C114" s="29"/>
      <c r="D114" s="29"/>
      <c r="E114" s="29"/>
      <c r="F114" s="29"/>
      <c r="G114" s="29"/>
      <c r="H114" s="29"/>
      <c r="I114" s="29"/>
      <c r="J114" s="29"/>
      <c r="K114" s="65"/>
      <c r="L114" s="65"/>
      <c r="M114" s="65"/>
      <c r="N114" s="29"/>
      <c r="O114" s="6"/>
    </row>
    <row r="115" spans="1:15" ht="15.75">
      <c r="A115" s="7"/>
      <c r="B115" s="14"/>
      <c r="C115" s="9"/>
      <c r="D115" s="9"/>
      <c r="E115" s="9"/>
      <c r="F115" s="9"/>
      <c r="G115" s="9"/>
      <c r="H115" s="9"/>
      <c r="I115" s="9"/>
      <c r="J115" s="9"/>
      <c r="K115" s="68"/>
      <c r="L115" s="68"/>
      <c r="M115" s="68"/>
      <c r="N115" s="9"/>
      <c r="O115" s="6"/>
    </row>
    <row r="116" spans="1:15" ht="16.5" thickBot="1">
      <c r="A116" s="134"/>
      <c r="B116" s="135" t="str">
        <f>B53</f>
        <v>PASF1 INVESTOR REPORT QUARTER ENDING JULY 2003</v>
      </c>
      <c r="C116" s="136"/>
      <c r="D116" s="136"/>
      <c r="E116" s="136"/>
      <c r="F116" s="136"/>
      <c r="G116" s="136"/>
      <c r="H116" s="136"/>
      <c r="I116" s="136"/>
      <c r="J116" s="136"/>
      <c r="K116" s="139"/>
      <c r="L116" s="139"/>
      <c r="M116" s="139"/>
      <c r="N116" s="138"/>
      <c r="O116" s="6"/>
    </row>
    <row r="117" spans="1:15" ht="15.75">
      <c r="A117" s="2"/>
      <c r="B117" s="5"/>
      <c r="C117" s="5"/>
      <c r="D117" s="5"/>
      <c r="E117" s="5"/>
      <c r="F117" s="5"/>
      <c r="G117" s="5"/>
      <c r="H117" s="5"/>
      <c r="I117" s="5"/>
      <c r="J117" s="5"/>
      <c r="K117" s="76"/>
      <c r="L117" s="76"/>
      <c r="M117" s="76"/>
      <c r="N117" s="5"/>
      <c r="O117" s="6"/>
    </row>
    <row r="118" spans="1:15" ht="15.75">
      <c r="A118" s="7"/>
      <c r="B118" s="9"/>
      <c r="C118" s="9"/>
      <c r="D118" s="9"/>
      <c r="E118" s="9"/>
      <c r="F118" s="9"/>
      <c r="G118" s="9"/>
      <c r="H118" s="9"/>
      <c r="I118" s="9"/>
      <c r="J118" s="9"/>
      <c r="K118" s="9"/>
      <c r="L118" s="9"/>
      <c r="M118" s="64"/>
      <c r="N118" s="9"/>
      <c r="O118" s="6"/>
    </row>
    <row r="119" spans="1:15" ht="15.75">
      <c r="A119" s="77"/>
      <c r="B119" s="78"/>
      <c r="C119" s="78"/>
      <c r="D119" s="78"/>
      <c r="E119" s="78"/>
      <c r="F119" s="78"/>
      <c r="G119" s="78"/>
      <c r="H119" s="78"/>
      <c r="I119" s="78"/>
      <c r="J119" s="78"/>
      <c r="K119" s="78"/>
      <c r="L119" s="78"/>
      <c r="M119" s="79"/>
      <c r="N119" s="78"/>
      <c r="O119" s="6"/>
    </row>
    <row r="120" spans="1:15" ht="15.75">
      <c r="A120" s="77"/>
      <c r="B120" s="80" t="s">
        <v>84</v>
      </c>
      <c r="C120" s="78"/>
      <c r="D120" s="78"/>
      <c r="E120" s="78"/>
      <c r="F120" s="78"/>
      <c r="G120" s="78"/>
      <c r="H120" s="78"/>
      <c r="I120" s="78"/>
      <c r="J120" s="78"/>
      <c r="K120" s="78"/>
      <c r="L120" s="78"/>
      <c r="M120" s="79"/>
      <c r="N120" s="81"/>
      <c r="O120" s="6"/>
    </row>
    <row r="121" spans="1:15" ht="15.75">
      <c r="A121" s="77"/>
      <c r="B121" s="78"/>
      <c r="C121" s="78"/>
      <c r="D121" s="78"/>
      <c r="E121" s="78"/>
      <c r="F121" s="78"/>
      <c r="G121" s="78"/>
      <c r="H121" s="78"/>
      <c r="I121" s="78"/>
      <c r="J121" s="78"/>
      <c r="K121" s="78"/>
      <c r="L121" s="78"/>
      <c r="M121" s="79"/>
      <c r="N121" s="78"/>
      <c r="O121" s="6"/>
    </row>
    <row r="122" spans="1:15" ht="15.75">
      <c r="A122" s="7"/>
      <c r="B122" s="158" t="s">
        <v>85</v>
      </c>
      <c r="C122" s="15"/>
      <c r="D122" s="15"/>
      <c r="E122" s="9"/>
      <c r="F122" s="9"/>
      <c r="G122" s="9"/>
      <c r="H122" s="9"/>
      <c r="I122" s="9"/>
      <c r="J122" s="9"/>
      <c r="K122" s="9"/>
      <c r="L122" s="9"/>
      <c r="M122" s="64"/>
      <c r="N122" s="9"/>
      <c r="O122" s="6"/>
    </row>
    <row r="123" spans="1:15" ht="15.75">
      <c r="A123" s="28"/>
      <c r="B123" s="29" t="s">
        <v>86</v>
      </c>
      <c r="C123" s="29"/>
      <c r="D123" s="29"/>
      <c r="E123" s="29"/>
      <c r="F123" s="29"/>
      <c r="G123" s="29"/>
      <c r="H123" s="29"/>
      <c r="I123" s="29"/>
      <c r="J123" s="29"/>
      <c r="K123" s="29"/>
      <c r="L123" s="29"/>
      <c r="M123" s="66">
        <v>5852</v>
      </c>
      <c r="N123" s="29"/>
      <c r="O123" s="6"/>
    </row>
    <row r="124" spans="1:15" ht="15.75">
      <c r="A124" s="28"/>
      <c r="B124" s="29" t="s">
        <v>87</v>
      </c>
      <c r="C124" s="29"/>
      <c r="D124" s="29"/>
      <c r="E124" s="29"/>
      <c r="F124" s="29"/>
      <c r="G124" s="29"/>
      <c r="H124" s="29"/>
      <c r="I124" s="29"/>
      <c r="J124" s="29"/>
      <c r="K124" s="29"/>
      <c r="L124" s="29"/>
      <c r="M124" s="66">
        <v>0</v>
      </c>
      <c r="N124" s="29"/>
      <c r="O124" s="6"/>
    </row>
    <row r="125" spans="1:15" ht="15.75">
      <c r="A125" s="28"/>
      <c r="B125" s="29" t="s">
        <v>88</v>
      </c>
      <c r="C125" s="29"/>
      <c r="D125" s="29"/>
      <c r="E125" s="29"/>
      <c r="F125" s="29"/>
      <c r="G125" s="29"/>
      <c r="H125" s="29"/>
      <c r="I125" s="29"/>
      <c r="J125" s="29"/>
      <c r="K125" s="29"/>
      <c r="L125" s="29"/>
      <c r="M125" s="66">
        <v>0</v>
      </c>
      <c r="N125" s="29"/>
      <c r="O125" s="6"/>
    </row>
    <row r="126" spans="1:15" ht="15.75">
      <c r="A126" s="28"/>
      <c r="B126" s="29" t="s">
        <v>89</v>
      </c>
      <c r="C126" s="29"/>
      <c r="D126" s="29"/>
      <c r="E126" s="29"/>
      <c r="F126" s="29"/>
      <c r="G126" s="29"/>
      <c r="H126" s="29"/>
      <c r="I126" s="29"/>
      <c r="J126" s="29"/>
      <c r="K126" s="29"/>
      <c r="L126" s="29"/>
      <c r="M126" s="66">
        <v>0</v>
      </c>
      <c r="N126" s="29"/>
      <c r="O126" s="6"/>
    </row>
    <row r="127" spans="1:15" ht="15.75">
      <c r="A127" s="28"/>
      <c r="B127" s="29" t="s">
        <v>90</v>
      </c>
      <c r="C127" s="29"/>
      <c r="D127" s="29"/>
      <c r="E127" s="29"/>
      <c r="F127" s="29"/>
      <c r="G127" s="29"/>
      <c r="H127" s="29"/>
      <c r="I127" s="29"/>
      <c r="J127" s="29"/>
      <c r="K127" s="29"/>
      <c r="L127" s="29"/>
      <c r="M127" s="66">
        <v>0</v>
      </c>
      <c r="N127" s="29"/>
      <c r="O127" s="6"/>
    </row>
    <row r="128" spans="1:15" ht="15.75">
      <c r="A128" s="28"/>
      <c r="B128" s="29" t="s">
        <v>91</v>
      </c>
      <c r="C128" s="29"/>
      <c r="D128" s="29"/>
      <c r="E128" s="29"/>
      <c r="F128" s="29"/>
      <c r="G128" s="29"/>
      <c r="H128" s="29"/>
      <c r="I128" s="29"/>
      <c r="J128" s="29"/>
      <c r="K128" s="29"/>
      <c r="L128" s="29"/>
      <c r="M128" s="66">
        <v>0</v>
      </c>
      <c r="N128" s="29"/>
      <c r="O128" s="6"/>
    </row>
    <row r="129" spans="1:15" ht="15.75">
      <c r="A129" s="28"/>
      <c r="B129" s="29" t="s">
        <v>66</v>
      </c>
      <c r="C129" s="29"/>
      <c r="D129" s="29"/>
      <c r="E129" s="29"/>
      <c r="F129" s="29"/>
      <c r="G129" s="29"/>
      <c r="H129" s="29"/>
      <c r="I129" s="29"/>
      <c r="J129" s="29"/>
      <c r="K129" s="29"/>
      <c r="L129" s="29"/>
      <c r="M129" s="66">
        <v>0</v>
      </c>
      <c r="N129" s="29"/>
      <c r="O129" s="6"/>
    </row>
    <row r="130" spans="1:15" ht="15.75">
      <c r="A130" s="28"/>
      <c r="B130" s="29" t="s">
        <v>67</v>
      </c>
      <c r="C130" s="29"/>
      <c r="D130" s="29"/>
      <c r="E130" s="29"/>
      <c r="F130" s="29"/>
      <c r="G130" s="29"/>
      <c r="H130" s="29"/>
      <c r="I130" s="29"/>
      <c r="J130" s="29"/>
      <c r="K130" s="29"/>
      <c r="L130" s="29"/>
      <c r="M130" s="66">
        <v>0</v>
      </c>
      <c r="N130" s="29"/>
      <c r="O130" s="6"/>
    </row>
    <row r="131" spans="1:15" ht="15.75">
      <c r="A131" s="28"/>
      <c r="B131" s="29" t="s">
        <v>92</v>
      </c>
      <c r="C131" s="29"/>
      <c r="D131" s="29"/>
      <c r="E131" s="29"/>
      <c r="F131" s="29"/>
      <c r="G131" s="29"/>
      <c r="H131" s="29"/>
      <c r="I131" s="29"/>
      <c r="J131" s="29"/>
      <c r="K131" s="29"/>
      <c r="L131" s="29"/>
      <c r="M131" s="66">
        <f>M123+M126</f>
        <v>5852</v>
      </c>
      <c r="N131" s="29"/>
      <c r="O131" s="6"/>
    </row>
    <row r="132" spans="1:15" ht="15.75">
      <c r="A132" s="28"/>
      <c r="B132" s="29"/>
      <c r="C132" s="29"/>
      <c r="D132" s="29"/>
      <c r="E132" s="29"/>
      <c r="F132" s="29"/>
      <c r="G132" s="29"/>
      <c r="H132" s="29"/>
      <c r="I132" s="29"/>
      <c r="J132" s="29"/>
      <c r="K132" s="29"/>
      <c r="L132" s="29"/>
      <c r="M132" s="82"/>
      <c r="N132" s="29"/>
      <c r="O132" s="6"/>
    </row>
    <row r="133" spans="1:15" ht="15.75">
      <c r="A133" s="7"/>
      <c r="B133" s="158" t="s">
        <v>50</v>
      </c>
      <c r="C133" s="9"/>
      <c r="D133" s="9"/>
      <c r="E133" s="9"/>
      <c r="F133" s="9"/>
      <c r="G133" s="9"/>
      <c r="H133" s="9"/>
      <c r="I133" s="9"/>
      <c r="J133" s="9"/>
      <c r="K133" s="9"/>
      <c r="L133" s="9"/>
      <c r="M133" s="64"/>
      <c r="N133" s="9"/>
      <c r="O133" s="6"/>
    </row>
    <row r="134" spans="1:15" ht="15.75">
      <c r="A134" s="28"/>
      <c r="B134" s="29" t="s">
        <v>93</v>
      </c>
      <c r="C134" s="83"/>
      <c r="D134" s="83"/>
      <c r="E134" s="29"/>
      <c r="F134" s="29"/>
      <c r="G134" s="29"/>
      <c r="H134" s="29"/>
      <c r="I134" s="29"/>
      <c r="J134" s="29"/>
      <c r="K134" s="29"/>
      <c r="L134" s="29"/>
      <c r="M134" s="66">
        <v>2926</v>
      </c>
      <c r="N134" s="29"/>
      <c r="O134" s="6"/>
    </row>
    <row r="135" spans="1:15" ht="15.75">
      <c r="A135" s="28"/>
      <c r="B135" s="29" t="s">
        <v>94</v>
      </c>
      <c r="C135" s="29"/>
      <c r="D135" s="29"/>
      <c r="E135" s="29"/>
      <c r="F135" s="29"/>
      <c r="G135" s="29"/>
      <c r="H135" s="29"/>
      <c r="I135" s="29"/>
      <c r="J135" s="29"/>
      <c r="K135" s="29"/>
      <c r="L135" s="29"/>
      <c r="M135" s="66">
        <v>2926</v>
      </c>
      <c r="N135" s="29"/>
      <c r="O135" s="6"/>
    </row>
    <row r="136" spans="1:15" ht="15.75">
      <c r="A136" s="28"/>
      <c r="B136" s="29" t="s">
        <v>95</v>
      </c>
      <c r="C136" s="29"/>
      <c r="D136" s="29"/>
      <c r="E136" s="29"/>
      <c r="F136" s="29"/>
      <c r="G136" s="29"/>
      <c r="H136" s="29"/>
      <c r="I136" s="29"/>
      <c r="J136" s="29"/>
      <c r="K136" s="29"/>
      <c r="L136" s="29"/>
      <c r="M136" s="66">
        <f>-M99</f>
        <v>0</v>
      </c>
      <c r="N136" s="29"/>
      <c r="O136" s="6"/>
    </row>
    <row r="137" spans="1:15" ht="15.75">
      <c r="A137" s="28"/>
      <c r="B137" s="29" t="s">
        <v>96</v>
      </c>
      <c r="C137" s="29"/>
      <c r="D137" s="29"/>
      <c r="E137" s="29"/>
      <c r="F137" s="29"/>
      <c r="G137" s="29"/>
      <c r="H137" s="29"/>
      <c r="I137" s="29"/>
      <c r="J137" s="29"/>
      <c r="K137" s="29"/>
      <c r="L137" s="29"/>
      <c r="M137" s="66">
        <f>M134-M135-M136</f>
        <v>0</v>
      </c>
      <c r="N137" s="29"/>
      <c r="O137" s="6"/>
    </row>
    <row r="138" spans="1:15" ht="15.75">
      <c r="A138" s="28"/>
      <c r="B138" s="29"/>
      <c r="C138" s="29"/>
      <c r="D138" s="29"/>
      <c r="E138" s="29"/>
      <c r="F138" s="29"/>
      <c r="G138" s="29"/>
      <c r="H138" s="29"/>
      <c r="I138" s="29"/>
      <c r="J138" s="29"/>
      <c r="K138" s="29"/>
      <c r="L138" s="29"/>
      <c r="M138" s="84"/>
      <c r="N138" s="29"/>
      <c r="O138" s="6"/>
    </row>
    <row r="139" spans="1:15" ht="15.75">
      <c r="A139" s="7"/>
      <c r="B139" s="158" t="s">
        <v>97</v>
      </c>
      <c r="C139" s="15"/>
      <c r="D139" s="15"/>
      <c r="E139" s="9"/>
      <c r="F139" s="9"/>
      <c r="G139" s="17" t="s">
        <v>178</v>
      </c>
      <c r="H139" s="17"/>
      <c r="I139" s="17" t="s">
        <v>181</v>
      </c>
      <c r="J139" s="9"/>
      <c r="K139" s="9"/>
      <c r="L139" s="9"/>
      <c r="M139" s="85"/>
      <c r="N139" s="9"/>
      <c r="O139" s="6"/>
    </row>
    <row r="140" spans="1:15" ht="15.75">
      <c r="A140" s="7"/>
      <c r="B140" s="15"/>
      <c r="C140" s="15"/>
      <c r="D140" s="15"/>
      <c r="E140" s="9"/>
      <c r="F140" s="9"/>
      <c r="G140" s="9"/>
      <c r="H140" s="9"/>
      <c r="I140" s="9"/>
      <c r="J140" s="9"/>
      <c r="K140" s="9"/>
      <c r="L140" s="9"/>
      <c r="M140" s="85"/>
      <c r="N140" s="9"/>
      <c r="O140" s="6"/>
    </row>
    <row r="141" spans="1:15" ht="15.75">
      <c r="A141" s="28"/>
      <c r="B141" s="29" t="s">
        <v>98</v>
      </c>
      <c r="C141" s="29"/>
      <c r="D141" s="29"/>
      <c r="E141" s="29"/>
      <c r="F141" s="29"/>
      <c r="G141" s="29">
        <v>0</v>
      </c>
      <c r="H141" s="29"/>
      <c r="I141" s="29">
        <v>0</v>
      </c>
      <c r="J141" s="29"/>
      <c r="K141" s="29"/>
      <c r="L141" s="29"/>
      <c r="M141" s="66">
        <v>0</v>
      </c>
      <c r="N141" s="29"/>
      <c r="O141" s="6"/>
    </row>
    <row r="142" spans="1:15" ht="15.75">
      <c r="A142" s="28"/>
      <c r="B142" s="29" t="s">
        <v>99</v>
      </c>
      <c r="C142" s="29"/>
      <c r="D142" s="29"/>
      <c r="E142" s="29"/>
      <c r="F142" s="29"/>
      <c r="G142" s="29">
        <v>63</v>
      </c>
      <c r="H142" s="29"/>
      <c r="I142" s="29">
        <v>900</v>
      </c>
      <c r="J142" s="29"/>
      <c r="K142" s="29"/>
      <c r="L142" s="29"/>
      <c r="M142" s="66">
        <f>SUM(G142:I142)</f>
        <v>963</v>
      </c>
      <c r="N142" s="29"/>
      <c r="O142" s="6"/>
    </row>
    <row r="143" spans="1:15" ht="15.75">
      <c r="A143" s="28"/>
      <c r="B143" s="29" t="s">
        <v>100</v>
      </c>
      <c r="C143" s="29"/>
      <c r="D143" s="29"/>
      <c r="E143" s="29"/>
      <c r="F143" s="29"/>
      <c r="G143" s="29"/>
      <c r="H143" s="29"/>
      <c r="I143" s="86"/>
      <c r="J143" s="29"/>
      <c r="K143" s="29"/>
      <c r="L143" s="29"/>
      <c r="M143" s="66">
        <f>M98</f>
        <v>-963</v>
      </c>
      <c r="N143" s="29"/>
      <c r="O143" s="6"/>
    </row>
    <row r="144" spans="1:15" ht="15.75">
      <c r="A144" s="28"/>
      <c r="B144" s="29" t="s">
        <v>101</v>
      </c>
      <c r="C144" s="29"/>
      <c r="D144" s="29"/>
      <c r="E144" s="29"/>
      <c r="F144" s="29"/>
      <c r="G144" s="29"/>
      <c r="H144" s="29"/>
      <c r="I144" s="29"/>
      <c r="J144" s="29"/>
      <c r="K144" s="29"/>
      <c r="L144" s="29"/>
      <c r="M144" s="66">
        <f>M143+M142</f>
        <v>0</v>
      </c>
      <c r="N144" s="29"/>
      <c r="O144" s="6"/>
    </row>
    <row r="145" spans="1:15" ht="15.75">
      <c r="A145" s="28"/>
      <c r="B145" s="29"/>
      <c r="C145" s="29"/>
      <c r="D145" s="29"/>
      <c r="E145" s="29"/>
      <c r="F145" s="29"/>
      <c r="G145" s="29"/>
      <c r="H145" s="29"/>
      <c r="I145" s="29"/>
      <c r="J145" s="29"/>
      <c r="K145" s="29"/>
      <c r="L145" s="29"/>
      <c r="M145" s="82"/>
      <c r="N145" s="29"/>
      <c r="O145" s="6"/>
    </row>
    <row r="146" spans="1:15" ht="15.75">
      <c r="A146" s="7"/>
      <c r="B146" s="9"/>
      <c r="C146" s="9"/>
      <c r="D146" s="9"/>
      <c r="E146" s="9"/>
      <c r="F146" s="9"/>
      <c r="G146" s="9"/>
      <c r="H146" s="9"/>
      <c r="I146" s="9"/>
      <c r="J146" s="9"/>
      <c r="K146" s="9"/>
      <c r="L146" s="9"/>
      <c r="M146" s="64"/>
      <c r="N146" s="9"/>
      <c r="O146" s="6"/>
    </row>
    <row r="147" spans="1:15" ht="15.75">
      <c r="A147" s="7"/>
      <c r="B147" s="158" t="s">
        <v>102</v>
      </c>
      <c r="C147" s="15"/>
      <c r="D147" s="15"/>
      <c r="E147" s="9"/>
      <c r="F147" s="9"/>
      <c r="G147" s="9"/>
      <c r="H147" s="9"/>
      <c r="I147" s="9"/>
      <c r="J147" s="9"/>
      <c r="K147" s="9"/>
      <c r="L147" s="9"/>
      <c r="M147" s="64"/>
      <c r="N147" s="9"/>
      <c r="O147" s="6"/>
    </row>
    <row r="148" spans="1:18" ht="15.75">
      <c r="A148" s="28"/>
      <c r="B148" s="29" t="s">
        <v>103</v>
      </c>
      <c r="C148" s="87"/>
      <c r="D148" s="87"/>
      <c r="E148" s="29"/>
      <c r="F148" s="29"/>
      <c r="G148" s="29"/>
      <c r="H148" s="29"/>
      <c r="I148" s="29"/>
      <c r="J148" s="29"/>
      <c r="K148" s="29"/>
      <c r="L148" s="29"/>
      <c r="M148" s="66">
        <f>M68+M61</f>
        <v>168900</v>
      </c>
      <c r="N148" s="29"/>
      <c r="O148" s="6"/>
      <c r="R148" s="132"/>
    </row>
    <row r="149" spans="1:15" ht="15.75">
      <c r="A149" s="28"/>
      <c r="B149" s="29" t="s">
        <v>104</v>
      </c>
      <c r="C149" s="87"/>
      <c r="D149" s="87"/>
      <c r="E149" s="29"/>
      <c r="F149" s="29"/>
      <c r="G149" s="29"/>
      <c r="H149" s="29"/>
      <c r="I149" s="29"/>
      <c r="J149" s="29"/>
      <c r="K149" s="29"/>
      <c r="L149" s="29"/>
      <c r="M149" s="66">
        <f>M72</f>
        <v>19425</v>
      </c>
      <c r="N149" s="29"/>
      <c r="O149" s="6"/>
    </row>
    <row r="150" spans="1:15" ht="15.75">
      <c r="A150" s="28"/>
      <c r="B150" s="29" t="s">
        <v>50</v>
      </c>
      <c r="C150" s="87"/>
      <c r="D150" s="87"/>
      <c r="E150" s="29"/>
      <c r="F150" s="29"/>
      <c r="G150" s="29"/>
      <c r="H150" s="29"/>
      <c r="I150" s="29"/>
      <c r="J150" s="29"/>
      <c r="K150" s="29"/>
      <c r="L150" s="29"/>
      <c r="M150" s="66">
        <f>M71</f>
        <v>2926</v>
      </c>
      <c r="N150" s="29"/>
      <c r="O150" s="6"/>
    </row>
    <row r="151" spans="1:16" ht="15.75">
      <c r="A151" s="28"/>
      <c r="B151" s="29" t="s">
        <v>105</v>
      </c>
      <c r="C151" s="87"/>
      <c r="D151" s="87"/>
      <c r="E151" s="29"/>
      <c r="F151" s="29"/>
      <c r="G151" s="29"/>
      <c r="H151" s="29"/>
      <c r="I151" s="29"/>
      <c r="J151" s="29"/>
      <c r="K151" s="29"/>
      <c r="L151" s="29"/>
      <c r="M151" s="66">
        <f>M74</f>
        <v>-95</v>
      </c>
      <c r="N151" s="29"/>
      <c r="O151" s="6"/>
      <c r="P151" s="132"/>
    </row>
    <row r="152" spans="1:15" ht="15.75">
      <c r="A152" s="28"/>
      <c r="B152" s="29" t="s">
        <v>106</v>
      </c>
      <c r="C152" s="87"/>
      <c r="D152" s="87"/>
      <c r="E152" s="29"/>
      <c r="F152" s="29"/>
      <c r="G152" s="29"/>
      <c r="H152" s="29"/>
      <c r="I152" s="29"/>
      <c r="J152" s="29"/>
      <c r="K152" s="29"/>
      <c r="L152" s="29"/>
      <c r="M152" s="66">
        <f>M73</f>
        <v>6768</v>
      </c>
      <c r="N152" s="29"/>
      <c r="O152" s="6"/>
    </row>
    <row r="153" spans="1:15" ht="15.75">
      <c r="A153" s="28"/>
      <c r="B153" s="29" t="s">
        <v>107</v>
      </c>
      <c r="C153" s="87"/>
      <c r="D153" s="87"/>
      <c r="E153" s="29"/>
      <c r="F153" s="29"/>
      <c r="G153" s="29"/>
      <c r="H153" s="29"/>
      <c r="I153" s="29"/>
      <c r="J153" s="29"/>
      <c r="K153" s="29"/>
      <c r="L153" s="29"/>
      <c r="M153" s="66">
        <f>SUM(M148:M152)</f>
        <v>197924</v>
      </c>
      <c r="N153" s="29"/>
      <c r="O153" s="133"/>
    </row>
    <row r="154" spans="1:19" ht="15.75">
      <c r="A154" s="28"/>
      <c r="B154" s="29" t="s">
        <v>108</v>
      </c>
      <c r="C154" s="87"/>
      <c r="D154" s="87"/>
      <c r="E154" s="29"/>
      <c r="F154" s="29"/>
      <c r="G154" s="29"/>
      <c r="H154" s="29"/>
      <c r="I154" s="29"/>
      <c r="J154" s="29"/>
      <c r="K154" s="29"/>
      <c r="L154" s="29"/>
      <c r="M154" s="66">
        <f>M30</f>
        <v>194998</v>
      </c>
      <c r="N154" s="29"/>
      <c r="O154" s="6"/>
      <c r="P154" s="132"/>
      <c r="R154" s="132"/>
      <c r="S154" s="132"/>
    </row>
    <row r="155" spans="1:15" ht="15.75">
      <c r="A155" s="28"/>
      <c r="B155" s="29"/>
      <c r="C155" s="29"/>
      <c r="D155" s="29"/>
      <c r="E155" s="29"/>
      <c r="F155" s="29"/>
      <c r="G155" s="29"/>
      <c r="H155" s="29"/>
      <c r="I155" s="29"/>
      <c r="J155" s="29"/>
      <c r="K155" s="29"/>
      <c r="L155" s="29"/>
      <c r="M155" s="82"/>
      <c r="N155" s="29"/>
      <c r="O155" s="6"/>
    </row>
    <row r="156" spans="1:15" ht="15.75">
      <c r="A156" s="7"/>
      <c r="B156" s="9"/>
      <c r="C156" s="9"/>
      <c r="D156" s="9"/>
      <c r="E156" s="9"/>
      <c r="F156" s="9"/>
      <c r="G156" s="9"/>
      <c r="H156" s="9"/>
      <c r="I156" s="25"/>
      <c r="J156" s="9"/>
      <c r="K156" s="25"/>
      <c r="L156" s="9"/>
      <c r="M156" s="64"/>
      <c r="N156" s="9"/>
      <c r="O156" s="6"/>
    </row>
    <row r="157" spans="1:15" ht="15.75">
      <c r="A157" s="7"/>
      <c r="B157" s="158" t="s">
        <v>109</v>
      </c>
      <c r="C157" s="144"/>
      <c r="D157" s="144"/>
      <c r="E157" s="144"/>
      <c r="F157" s="144"/>
      <c r="G157" s="144"/>
      <c r="H157" s="144"/>
      <c r="I157" s="159" t="s">
        <v>205</v>
      </c>
      <c r="J157" s="159"/>
      <c r="K157" s="159" t="s">
        <v>210</v>
      </c>
      <c r="L157" s="144"/>
      <c r="M157" s="160" t="s">
        <v>192</v>
      </c>
      <c r="N157" s="161"/>
      <c r="O157" s="6"/>
    </row>
    <row r="158" spans="1:15" ht="15.75">
      <c r="A158" s="28"/>
      <c r="B158" s="29" t="s">
        <v>110</v>
      </c>
      <c r="C158" s="29"/>
      <c r="D158" s="29"/>
      <c r="E158" s="29"/>
      <c r="F158" s="29"/>
      <c r="G158" s="29"/>
      <c r="H158" s="29"/>
      <c r="I158" s="66"/>
      <c r="J158" s="29"/>
      <c r="K158" s="53"/>
      <c r="L158" s="29"/>
      <c r="M158" s="66"/>
      <c r="N158" s="29"/>
      <c r="O158" s="6"/>
    </row>
    <row r="159" spans="1:15" ht="15.75">
      <c r="A159" s="28"/>
      <c r="B159" s="29" t="s">
        <v>111</v>
      </c>
      <c r="C159" s="29"/>
      <c r="D159" s="29"/>
      <c r="E159" s="29"/>
      <c r="F159" s="29"/>
      <c r="G159" s="29"/>
      <c r="H159" s="29"/>
      <c r="I159" s="66">
        <f>+'April 2003'!I161</f>
        <v>40</v>
      </c>
      <c r="J159" s="29"/>
      <c r="K159" s="29"/>
      <c r="L159" s="29"/>
      <c r="M159" s="66" t="s">
        <v>224</v>
      </c>
      <c r="N159" s="29"/>
      <c r="O159" s="6"/>
    </row>
    <row r="160" spans="1:15" ht="15.75">
      <c r="A160" s="28"/>
      <c r="B160" s="29" t="s">
        <v>112</v>
      </c>
      <c r="C160" s="29"/>
      <c r="D160" s="29"/>
      <c r="E160" s="29"/>
      <c r="F160" s="29"/>
      <c r="G160" s="29"/>
      <c r="H160" s="29"/>
      <c r="I160" s="66">
        <v>92</v>
      </c>
      <c r="J160" s="29"/>
      <c r="K160" s="29"/>
      <c r="L160" s="29"/>
      <c r="M160" s="66" t="s">
        <v>224</v>
      </c>
      <c r="N160" s="29"/>
      <c r="O160" s="6"/>
    </row>
    <row r="161" spans="1:15" ht="15.75">
      <c r="A161" s="28"/>
      <c r="B161" s="29" t="s">
        <v>113</v>
      </c>
      <c r="C161" s="29"/>
      <c r="D161" s="29"/>
      <c r="E161" s="29"/>
      <c r="F161" s="29"/>
      <c r="G161" s="29"/>
      <c r="H161" s="29"/>
      <c r="I161" s="66">
        <f>SUM(I159:I160)</f>
        <v>132</v>
      </c>
      <c r="J161" s="29"/>
      <c r="K161" s="66"/>
      <c r="L161" s="29"/>
      <c r="M161" s="66" t="s">
        <v>224</v>
      </c>
      <c r="N161" s="29"/>
      <c r="O161" s="6"/>
    </row>
    <row r="162" spans="1:15" ht="15.75">
      <c r="A162" s="28"/>
      <c r="B162" s="29" t="s">
        <v>114</v>
      </c>
      <c r="C162" s="29"/>
      <c r="D162" s="29"/>
      <c r="E162" s="29"/>
      <c r="F162" s="29"/>
      <c r="G162" s="29"/>
      <c r="H162" s="29"/>
      <c r="I162" s="66"/>
      <c r="J162" s="29"/>
      <c r="K162" s="53"/>
      <c r="L162" s="29"/>
      <c r="M162" s="66"/>
      <c r="N162" s="29"/>
      <c r="O162" s="6"/>
    </row>
    <row r="163" spans="1:15" ht="15.75">
      <c r="A163" s="28"/>
      <c r="B163" s="29"/>
      <c r="C163" s="29"/>
      <c r="D163" s="29"/>
      <c r="E163" s="29"/>
      <c r="F163" s="29"/>
      <c r="G163" s="29"/>
      <c r="H163" s="29"/>
      <c r="I163" s="29"/>
      <c r="J163" s="29"/>
      <c r="K163" s="29"/>
      <c r="L163" s="29"/>
      <c r="M163" s="82"/>
      <c r="N163" s="29"/>
      <c r="O163" s="6"/>
    </row>
    <row r="164" spans="1:15" ht="15.75">
      <c r="A164" s="7"/>
      <c r="B164" s="9"/>
      <c r="C164" s="9"/>
      <c r="D164" s="9"/>
      <c r="E164" s="9"/>
      <c r="F164" s="9"/>
      <c r="G164" s="9"/>
      <c r="H164" s="9"/>
      <c r="I164" s="9"/>
      <c r="J164" s="9"/>
      <c r="K164" s="9"/>
      <c r="L164" s="9"/>
      <c r="M164" s="64"/>
      <c r="N164" s="9"/>
      <c r="O164" s="6"/>
    </row>
    <row r="165" spans="1:15" ht="15.75">
      <c r="A165" s="7"/>
      <c r="B165" s="158" t="s">
        <v>115</v>
      </c>
      <c r="C165" s="15"/>
      <c r="D165" s="15"/>
      <c r="E165" s="9"/>
      <c r="F165" s="9"/>
      <c r="G165" s="9"/>
      <c r="H165" s="9"/>
      <c r="I165" s="9"/>
      <c r="J165" s="9"/>
      <c r="K165" s="9"/>
      <c r="L165" s="9"/>
      <c r="M165" s="88"/>
      <c r="N165" s="9"/>
      <c r="O165" s="6"/>
    </row>
    <row r="166" spans="1:15" ht="15.75">
      <c r="A166" s="28"/>
      <c r="B166" s="29" t="s">
        <v>116</v>
      </c>
      <c r="C166" s="29"/>
      <c r="D166" s="29"/>
      <c r="E166" s="29"/>
      <c r="F166" s="29"/>
      <c r="G166" s="29"/>
      <c r="H166" s="29"/>
      <c r="I166" s="29"/>
      <c r="J166" s="29"/>
      <c r="K166" s="29"/>
      <c r="L166" s="29"/>
      <c r="M166" s="73">
        <f>(M88+M90+M91+M93)/-M92</f>
        <v>3.830715532286213</v>
      </c>
      <c r="N166" s="29" t="s">
        <v>225</v>
      </c>
      <c r="O166" s="6"/>
    </row>
    <row r="167" spans="1:15" ht="15.75">
      <c r="A167" s="28"/>
      <c r="B167" s="29" t="s">
        <v>117</v>
      </c>
      <c r="C167" s="29"/>
      <c r="D167" s="29"/>
      <c r="E167" s="29"/>
      <c r="F167" s="29"/>
      <c r="G167" s="29"/>
      <c r="H167" s="29"/>
      <c r="I167" s="29"/>
      <c r="J167" s="29"/>
      <c r="K167" s="29"/>
      <c r="L167" s="29"/>
      <c r="M167" s="89">
        <v>2.97</v>
      </c>
      <c r="N167" s="29" t="s">
        <v>225</v>
      </c>
      <c r="O167" s="6"/>
    </row>
    <row r="168" spans="1:15" ht="15.75">
      <c r="A168" s="28"/>
      <c r="B168" s="29" t="s">
        <v>118</v>
      </c>
      <c r="C168" s="29"/>
      <c r="D168" s="29"/>
      <c r="E168" s="29"/>
      <c r="F168" s="29"/>
      <c r="G168" s="29"/>
      <c r="H168" s="29"/>
      <c r="I168" s="29"/>
      <c r="J168" s="29"/>
      <c r="K168" s="29"/>
      <c r="L168" s="29"/>
      <c r="M168" s="73">
        <f>(M88+M90+M91+M92+M93+M94)/-M95</f>
        <v>25.994652406417114</v>
      </c>
      <c r="N168" s="29" t="s">
        <v>225</v>
      </c>
      <c r="O168" s="6"/>
    </row>
    <row r="169" spans="1:15" ht="15.75">
      <c r="A169" s="28"/>
      <c r="B169" s="29" t="s">
        <v>119</v>
      </c>
      <c r="C169" s="29"/>
      <c r="D169" s="29"/>
      <c r="E169" s="29"/>
      <c r="F169" s="29"/>
      <c r="G169" s="29"/>
      <c r="H169" s="29"/>
      <c r="I169" s="29"/>
      <c r="J169" s="29"/>
      <c r="K169" s="29"/>
      <c r="L169" s="29"/>
      <c r="M169" s="90">
        <v>18.41</v>
      </c>
      <c r="N169" s="29" t="s">
        <v>225</v>
      </c>
      <c r="O169" s="6"/>
    </row>
    <row r="170" spans="1:15" ht="15.75">
      <c r="A170" s="28"/>
      <c r="B170" s="29" t="s">
        <v>120</v>
      </c>
      <c r="C170" s="29"/>
      <c r="D170" s="29"/>
      <c r="E170" s="29"/>
      <c r="F170" s="29"/>
      <c r="G170" s="29"/>
      <c r="H170" s="29"/>
      <c r="I170" s="29"/>
      <c r="J170" s="29"/>
      <c r="K170" s="29"/>
      <c r="L170" s="29"/>
      <c r="M170" s="73">
        <f>(M88+M90+M91+M92+M93+M94+M95)/-M96</f>
        <v>34.88059701492537</v>
      </c>
      <c r="N170" s="29" t="s">
        <v>225</v>
      </c>
      <c r="O170" s="6"/>
    </row>
    <row r="171" spans="1:15" ht="15.75">
      <c r="A171" s="28"/>
      <c r="B171" s="29" t="s">
        <v>121</v>
      </c>
      <c r="C171" s="29"/>
      <c r="D171" s="29"/>
      <c r="E171" s="29"/>
      <c r="F171" s="29"/>
      <c r="G171" s="29"/>
      <c r="H171" s="29"/>
      <c r="I171" s="29"/>
      <c r="J171" s="29"/>
      <c r="K171" s="29"/>
      <c r="L171" s="29"/>
      <c r="M171" s="89">
        <v>24.92</v>
      </c>
      <c r="N171" s="29" t="s">
        <v>225</v>
      </c>
      <c r="O171" s="6"/>
    </row>
    <row r="172" spans="1:15" ht="15.75">
      <c r="A172" s="28"/>
      <c r="B172" s="29"/>
      <c r="C172" s="29"/>
      <c r="D172" s="29"/>
      <c r="E172" s="29"/>
      <c r="F172" s="29"/>
      <c r="G172" s="29"/>
      <c r="H172" s="29"/>
      <c r="I172" s="29"/>
      <c r="J172" s="29"/>
      <c r="K172" s="29"/>
      <c r="L172" s="29"/>
      <c r="M172" s="29"/>
      <c r="N172" s="29"/>
      <c r="O172" s="6"/>
    </row>
    <row r="173" spans="1:15" ht="15.75">
      <c r="A173" s="7"/>
      <c r="B173" s="9"/>
      <c r="C173" s="9"/>
      <c r="D173" s="9"/>
      <c r="E173" s="9"/>
      <c r="F173" s="9"/>
      <c r="G173" s="9"/>
      <c r="H173" s="9"/>
      <c r="I173" s="9"/>
      <c r="J173" s="9"/>
      <c r="K173" s="9"/>
      <c r="L173" s="9"/>
      <c r="M173" s="9"/>
      <c r="N173" s="9"/>
      <c r="O173" s="6"/>
    </row>
    <row r="174" spans="1:15" ht="16.5" thickBot="1">
      <c r="A174" s="134"/>
      <c r="B174" s="135" t="str">
        <f>B116</f>
        <v>PASF1 INVESTOR REPORT QUARTER ENDING JULY 2003</v>
      </c>
      <c r="C174" s="136"/>
      <c r="D174" s="136"/>
      <c r="E174" s="136"/>
      <c r="F174" s="136"/>
      <c r="G174" s="136"/>
      <c r="H174" s="136"/>
      <c r="I174" s="136"/>
      <c r="J174" s="136"/>
      <c r="K174" s="136"/>
      <c r="L174" s="136"/>
      <c r="M174" s="136"/>
      <c r="N174" s="138"/>
      <c r="O174" s="6"/>
    </row>
    <row r="175" spans="1:15" ht="15.75">
      <c r="A175" s="2"/>
      <c r="B175" s="91"/>
      <c r="C175" s="91"/>
      <c r="D175" s="91"/>
      <c r="E175" s="91"/>
      <c r="F175" s="91"/>
      <c r="G175" s="91"/>
      <c r="H175" s="91"/>
      <c r="I175" s="91"/>
      <c r="J175" s="91"/>
      <c r="K175" s="91"/>
      <c r="L175" s="91"/>
      <c r="M175" s="91"/>
      <c r="N175" s="91"/>
      <c r="O175" s="6"/>
    </row>
    <row r="176" spans="1:15" ht="15.75">
      <c r="A176" s="92"/>
      <c r="B176" s="63" t="s">
        <v>122</v>
      </c>
      <c r="C176" s="93"/>
      <c r="D176" s="93"/>
      <c r="E176" s="93" t="s">
        <v>178</v>
      </c>
      <c r="F176" s="93"/>
      <c r="G176" s="94" t="s">
        <v>181</v>
      </c>
      <c r="H176" s="94"/>
      <c r="I176" s="94"/>
      <c r="J176" s="22"/>
      <c r="K176" s="22">
        <v>37833</v>
      </c>
      <c r="L176" s="18"/>
      <c r="M176" s="18"/>
      <c r="N176" s="9"/>
      <c r="O176" s="6"/>
    </row>
    <row r="177" spans="1:15" ht="15.75">
      <c r="A177" s="95"/>
      <c r="B177" s="74" t="s">
        <v>123</v>
      </c>
      <c r="C177" s="96"/>
      <c r="D177" s="96"/>
      <c r="E177" s="97">
        <v>0.12505</v>
      </c>
      <c r="F177" s="96"/>
      <c r="G177" s="97">
        <v>0.13752</v>
      </c>
      <c r="H177" s="86"/>
      <c r="I177" s="86"/>
      <c r="J177" s="86"/>
      <c r="K177" s="97">
        <v>0.13157</v>
      </c>
      <c r="L177" s="29"/>
      <c r="M177" s="29"/>
      <c r="N177" s="29"/>
      <c r="O177" s="6"/>
    </row>
    <row r="178" spans="1:15" ht="15.75">
      <c r="A178" s="95"/>
      <c r="B178" s="74" t="s">
        <v>124</v>
      </c>
      <c r="C178" s="96"/>
      <c r="D178" s="96"/>
      <c r="E178" s="97"/>
      <c r="F178" s="96"/>
      <c r="G178" s="97"/>
      <c r="H178" s="86"/>
      <c r="I178" s="86"/>
      <c r="J178" s="86"/>
      <c r="K178" s="97">
        <v>0.0654</v>
      </c>
      <c r="L178" s="97"/>
      <c r="M178" s="29"/>
      <c r="N178" s="29"/>
      <c r="O178" s="6"/>
    </row>
    <row r="179" spans="1:15" ht="15.75">
      <c r="A179" s="95"/>
      <c r="B179" s="74" t="s">
        <v>125</v>
      </c>
      <c r="C179" s="96"/>
      <c r="D179" s="96"/>
      <c r="E179" s="96"/>
      <c r="F179" s="96"/>
      <c r="G179" s="96"/>
      <c r="H179" s="86"/>
      <c r="I179" s="86"/>
      <c r="J179" s="86"/>
      <c r="K179" s="97">
        <f>K177-K178</f>
        <v>0.06616999999999999</v>
      </c>
      <c r="L179" s="29"/>
      <c r="M179" s="29"/>
      <c r="N179" s="29"/>
      <c r="O179" s="6"/>
    </row>
    <row r="180" spans="1:15" ht="15.75">
      <c r="A180" s="95"/>
      <c r="B180" s="74" t="s">
        <v>126</v>
      </c>
      <c r="C180" s="96"/>
      <c r="D180" s="96"/>
      <c r="E180" s="98">
        <v>0.1001</v>
      </c>
      <c r="F180" s="98"/>
      <c r="G180" s="98">
        <v>0.1088</v>
      </c>
      <c r="H180" s="86"/>
      <c r="I180" s="86"/>
      <c r="J180" s="86"/>
      <c r="K180" s="97">
        <v>0.1045</v>
      </c>
      <c r="L180" s="29"/>
      <c r="M180" s="29"/>
      <c r="N180" s="29"/>
      <c r="O180" s="6"/>
    </row>
    <row r="181" spans="1:15" ht="15.75">
      <c r="A181" s="95"/>
      <c r="B181" s="74" t="s">
        <v>127</v>
      </c>
      <c r="C181" s="96"/>
      <c r="D181" s="96"/>
      <c r="E181" s="96"/>
      <c r="F181" s="96"/>
      <c r="G181" s="96"/>
      <c r="H181" s="86"/>
      <c r="I181" s="86"/>
      <c r="J181" s="86"/>
      <c r="K181" s="97">
        <f>M32</f>
        <v>0.04150488269110452</v>
      </c>
      <c r="L181" s="29"/>
      <c r="M181" s="29"/>
      <c r="N181" s="29"/>
      <c r="O181" s="6"/>
    </row>
    <row r="182" spans="1:15" ht="15.75">
      <c r="A182" s="95"/>
      <c r="B182" s="74" t="s">
        <v>128</v>
      </c>
      <c r="C182" s="96"/>
      <c r="D182" s="96"/>
      <c r="E182" s="96"/>
      <c r="F182" s="96"/>
      <c r="G182" s="96"/>
      <c r="H182" s="86"/>
      <c r="I182" s="86"/>
      <c r="J182" s="86"/>
      <c r="K182" s="97">
        <f>K180-K181</f>
        <v>0.06299511730889548</v>
      </c>
      <c r="L182" s="29"/>
      <c r="M182" s="29"/>
      <c r="N182" s="29"/>
      <c r="O182" s="6"/>
    </row>
    <row r="183" spans="1:15" ht="15.75">
      <c r="A183" s="95"/>
      <c r="B183" s="74" t="s">
        <v>129</v>
      </c>
      <c r="C183" s="96"/>
      <c r="D183" s="96"/>
      <c r="E183" s="96"/>
      <c r="F183" s="96"/>
      <c r="G183" s="96"/>
      <c r="H183" s="86"/>
      <c r="I183" s="86"/>
      <c r="J183" s="86"/>
      <c r="K183" s="97" t="s">
        <v>211</v>
      </c>
      <c r="L183" s="29"/>
      <c r="M183" s="29"/>
      <c r="N183" s="29"/>
      <c r="O183" s="6"/>
    </row>
    <row r="184" spans="1:15" ht="15.75">
      <c r="A184" s="95"/>
      <c r="B184" s="74" t="s">
        <v>130</v>
      </c>
      <c r="C184" s="96"/>
      <c r="D184" s="96"/>
      <c r="E184" s="96"/>
      <c r="F184" s="96"/>
      <c r="G184" s="96"/>
      <c r="H184" s="86"/>
      <c r="I184" s="86"/>
      <c r="J184" s="86"/>
      <c r="K184" s="97" t="s">
        <v>212</v>
      </c>
      <c r="L184" s="29"/>
      <c r="M184" s="29"/>
      <c r="N184" s="29"/>
      <c r="O184" s="6"/>
    </row>
    <row r="185" spans="1:15" ht="15.75">
      <c r="A185" s="95"/>
      <c r="B185" s="74" t="s">
        <v>131</v>
      </c>
      <c r="C185" s="96"/>
      <c r="D185" s="96"/>
      <c r="E185" s="99">
        <v>9.94</v>
      </c>
      <c r="F185" s="96"/>
      <c r="G185" s="99">
        <v>3.91</v>
      </c>
      <c r="H185" s="86"/>
      <c r="I185" s="86"/>
      <c r="J185" s="86"/>
      <c r="K185" s="100">
        <v>6.791</v>
      </c>
      <c r="L185" s="29"/>
      <c r="M185" s="29"/>
      <c r="N185" s="29"/>
      <c r="O185" s="6"/>
    </row>
    <row r="186" spans="1:15" ht="15.75">
      <c r="A186" s="95"/>
      <c r="B186" s="74" t="s">
        <v>132</v>
      </c>
      <c r="C186" s="96"/>
      <c r="D186" s="96"/>
      <c r="E186" s="101">
        <v>12.749</v>
      </c>
      <c r="F186" s="99"/>
      <c r="G186" s="99">
        <v>2.91</v>
      </c>
      <c r="H186" s="86"/>
      <c r="I186" s="86"/>
      <c r="J186" s="86"/>
      <c r="K186" s="100">
        <v>7.779</v>
      </c>
      <c r="L186" s="29"/>
      <c r="M186" s="29"/>
      <c r="N186" s="29"/>
      <c r="O186" s="6"/>
    </row>
    <row r="187" spans="1:15" ht="15.75">
      <c r="A187" s="95"/>
      <c r="B187" s="74" t="s">
        <v>231</v>
      </c>
      <c r="C187" s="96"/>
      <c r="D187" s="96"/>
      <c r="E187" s="101"/>
      <c r="F187" s="99"/>
      <c r="G187" s="99"/>
      <c r="H187" s="86"/>
      <c r="I187" s="86"/>
      <c r="J187" s="86"/>
      <c r="K187" s="97">
        <v>0.0486</v>
      </c>
      <c r="L187" s="29"/>
      <c r="M187" s="29"/>
      <c r="N187" s="29"/>
      <c r="O187" s="6"/>
    </row>
    <row r="188" spans="1:15" ht="15.75">
      <c r="A188" s="95"/>
      <c r="B188" s="74" t="s">
        <v>232</v>
      </c>
      <c r="C188" s="96"/>
      <c r="D188" s="96"/>
      <c r="E188" s="101"/>
      <c r="F188" s="99"/>
      <c r="G188" s="99"/>
      <c r="H188" s="86"/>
      <c r="I188" s="86"/>
      <c r="J188" s="86"/>
      <c r="K188" s="97">
        <v>0.1845</v>
      </c>
      <c r="L188" s="29"/>
      <c r="M188" s="29"/>
      <c r="N188" s="29"/>
      <c r="O188" s="6"/>
    </row>
    <row r="189" spans="1:15" ht="15.75">
      <c r="A189" s="95"/>
      <c r="B189" s="74" t="s">
        <v>233</v>
      </c>
      <c r="C189" s="96"/>
      <c r="D189" s="96"/>
      <c r="E189" s="101"/>
      <c r="F189" s="99"/>
      <c r="G189" s="99"/>
      <c r="H189" s="86"/>
      <c r="I189" s="86"/>
      <c r="J189" s="86"/>
      <c r="K189" s="97">
        <v>0.1099</v>
      </c>
      <c r="L189" s="29"/>
      <c r="M189" s="29"/>
      <c r="N189" s="29"/>
      <c r="O189" s="6"/>
    </row>
    <row r="190" spans="1:15" ht="15.75">
      <c r="A190" s="95"/>
      <c r="B190" s="74" t="s">
        <v>234</v>
      </c>
      <c r="C190" s="96"/>
      <c r="D190" s="96"/>
      <c r="E190" s="101"/>
      <c r="F190" s="99"/>
      <c r="G190" s="99"/>
      <c r="H190" s="86"/>
      <c r="I190" s="86"/>
      <c r="J190" s="86"/>
      <c r="K190" s="97">
        <v>0.3251</v>
      </c>
      <c r="L190" s="29"/>
      <c r="M190" s="29"/>
      <c r="N190" s="29"/>
      <c r="O190" s="6"/>
    </row>
    <row r="191" spans="1:15" ht="15.75">
      <c r="A191" s="95"/>
      <c r="B191" s="74"/>
      <c r="C191" s="74"/>
      <c r="D191" s="74"/>
      <c r="E191" s="74"/>
      <c r="F191" s="74"/>
      <c r="G191" s="74"/>
      <c r="H191" s="29"/>
      <c r="I191" s="29"/>
      <c r="J191" s="37"/>
      <c r="K191" s="102"/>
      <c r="L191" s="29"/>
      <c r="M191" s="103"/>
      <c r="N191" s="29"/>
      <c r="O191" s="6"/>
    </row>
    <row r="192" spans="1:15" ht="15.75">
      <c r="A192" s="104"/>
      <c r="B192" s="17" t="s">
        <v>134</v>
      </c>
      <c r="C192" s="20"/>
      <c r="D192" s="20"/>
      <c r="E192" s="105"/>
      <c r="F192" s="20"/>
      <c r="G192" s="105"/>
      <c r="H192" s="20"/>
      <c r="I192" s="105"/>
      <c r="J192" s="20" t="s">
        <v>206</v>
      </c>
      <c r="K192" s="105" t="s">
        <v>213</v>
      </c>
      <c r="L192" s="18"/>
      <c r="M192" s="18"/>
      <c r="N192" s="9"/>
      <c r="O192" s="6"/>
    </row>
    <row r="193" spans="1:15" ht="15.75">
      <c r="A193" s="106"/>
      <c r="B193" s="74" t="s">
        <v>135</v>
      </c>
      <c r="C193" s="67"/>
      <c r="D193" s="67"/>
      <c r="E193" s="67"/>
      <c r="F193" s="67"/>
      <c r="G193" s="29"/>
      <c r="H193" s="29"/>
      <c r="I193" s="29"/>
      <c r="J193" s="29">
        <v>81</v>
      </c>
      <c r="K193" s="66">
        <v>478</v>
      </c>
      <c r="L193" s="66"/>
      <c r="M193" s="103"/>
      <c r="N193" s="107"/>
      <c r="O193" s="6"/>
    </row>
    <row r="194" spans="1:15" ht="15.75">
      <c r="A194" s="106"/>
      <c r="B194" s="74" t="s">
        <v>136</v>
      </c>
      <c r="C194" s="67"/>
      <c r="D194" s="67"/>
      <c r="E194" s="67"/>
      <c r="F194" s="67"/>
      <c r="G194" s="29"/>
      <c r="H194" s="29"/>
      <c r="I194" s="29"/>
      <c r="J194" s="29">
        <v>11</v>
      </c>
      <c r="K194" s="66">
        <v>71</v>
      </c>
      <c r="L194" s="66"/>
      <c r="M194" s="103"/>
      <c r="N194" s="107"/>
      <c r="O194" s="6"/>
    </row>
    <row r="195" spans="1:15" ht="15.75">
      <c r="A195" s="106"/>
      <c r="B195" s="74"/>
      <c r="C195" s="67"/>
      <c r="D195" s="67"/>
      <c r="E195" s="67"/>
      <c r="F195" s="67"/>
      <c r="G195" s="29"/>
      <c r="H195" s="29"/>
      <c r="I195" s="29"/>
      <c r="J195" s="29"/>
      <c r="K195" s="66"/>
      <c r="L195" s="66"/>
      <c r="M195" s="103"/>
      <c r="N195" s="107"/>
      <c r="O195" s="6"/>
    </row>
    <row r="196" spans="1:15" ht="15.75">
      <c r="A196" s="106"/>
      <c r="B196" s="74" t="s">
        <v>137</v>
      </c>
      <c r="C196" s="67"/>
      <c r="D196" s="67"/>
      <c r="E196" s="67"/>
      <c r="F196" s="67"/>
      <c r="G196" s="29"/>
      <c r="H196" s="29"/>
      <c r="I196" s="29"/>
      <c r="J196" s="29">
        <v>81</v>
      </c>
      <c r="K196" s="66">
        <v>1296</v>
      </c>
      <c r="L196" s="66"/>
      <c r="M196" s="103"/>
      <c r="N196" s="107"/>
      <c r="O196" s="6"/>
    </row>
    <row r="197" spans="1:15" ht="15.75">
      <c r="A197" s="106"/>
      <c r="B197" s="74" t="s">
        <v>138</v>
      </c>
      <c r="C197" s="67"/>
      <c r="D197" s="67"/>
      <c r="E197" s="67"/>
      <c r="F197" s="67"/>
      <c r="G197" s="29"/>
      <c r="H197" s="29"/>
      <c r="I197" s="29"/>
      <c r="J197" s="29">
        <v>2</v>
      </c>
      <c r="K197" s="66">
        <v>28</v>
      </c>
      <c r="L197" s="66"/>
      <c r="M197" s="103"/>
      <c r="N197" s="107"/>
      <c r="O197" s="6"/>
    </row>
    <row r="198" spans="1:15" ht="15.75">
      <c r="A198" s="106"/>
      <c r="B198" s="74"/>
      <c r="C198" s="67"/>
      <c r="D198" s="67"/>
      <c r="E198" s="67"/>
      <c r="F198" s="67"/>
      <c r="G198" s="29"/>
      <c r="H198" s="29"/>
      <c r="I198" s="29"/>
      <c r="J198" s="29"/>
      <c r="K198" s="66"/>
      <c r="L198" s="66"/>
      <c r="M198" s="103"/>
      <c r="N198" s="107"/>
      <c r="O198" s="6"/>
    </row>
    <row r="199" spans="1:15" ht="15.75">
      <c r="A199" s="106"/>
      <c r="B199" s="162" t="s">
        <v>139</v>
      </c>
      <c r="C199" s="67"/>
      <c r="D199" s="67"/>
      <c r="E199" s="67"/>
      <c r="F199" s="67"/>
      <c r="G199" s="29"/>
      <c r="H199" s="29"/>
      <c r="I199" s="29"/>
      <c r="J199" s="29"/>
      <c r="K199" s="73" t="s">
        <v>214</v>
      </c>
      <c r="L199" s="29"/>
      <c r="M199" s="103"/>
      <c r="N199" s="107"/>
      <c r="O199" s="6"/>
    </row>
    <row r="200" spans="1:15" ht="15.75">
      <c r="A200" s="106"/>
      <c r="B200" s="162" t="s">
        <v>140</v>
      </c>
      <c r="C200" s="67"/>
      <c r="D200" s="67"/>
      <c r="E200" s="67"/>
      <c r="F200" s="67"/>
      <c r="G200" s="29"/>
      <c r="H200" s="29"/>
      <c r="I200" s="29"/>
      <c r="J200" s="29"/>
      <c r="K200" s="66">
        <f>-I72</f>
        <v>13801</v>
      </c>
      <c r="L200" s="29"/>
      <c r="M200" s="103"/>
      <c r="N200" s="107"/>
      <c r="O200" s="6"/>
    </row>
    <row r="201" spans="1:15" ht="15.75">
      <c r="A201" s="108"/>
      <c r="B201" s="162" t="s">
        <v>141</v>
      </c>
      <c r="C201" s="67"/>
      <c r="D201" s="67"/>
      <c r="E201" s="74"/>
      <c r="F201" s="74"/>
      <c r="G201" s="74"/>
      <c r="H201" s="29"/>
      <c r="I201" s="29"/>
      <c r="J201" s="29"/>
      <c r="K201" s="73"/>
      <c r="L201" s="29"/>
      <c r="M201" s="103"/>
      <c r="N201" s="109"/>
      <c r="O201" s="6"/>
    </row>
    <row r="202" spans="1:15" ht="15.75">
      <c r="A202" s="108"/>
      <c r="B202" s="74" t="s">
        <v>142</v>
      </c>
      <c r="C202" s="67"/>
      <c r="D202" s="67"/>
      <c r="E202" s="74"/>
      <c r="F202" s="74"/>
      <c r="G202" s="74"/>
      <c r="H202" s="29"/>
      <c r="I202" s="29"/>
      <c r="J202" s="29"/>
      <c r="K202" s="89">
        <f>I142</f>
        <v>900</v>
      </c>
      <c r="L202" s="29"/>
      <c r="M202" s="103"/>
      <c r="N202" s="109"/>
      <c r="O202" s="6"/>
    </row>
    <row r="203" spans="1:15" ht="15.75">
      <c r="A203" s="108"/>
      <c r="B203" s="74" t="s">
        <v>143</v>
      </c>
      <c r="C203" s="67"/>
      <c r="D203" s="67"/>
      <c r="E203" s="74"/>
      <c r="F203" s="74"/>
      <c r="G203" s="74"/>
      <c r="H203" s="29"/>
      <c r="I203" s="29"/>
      <c r="J203" s="29"/>
      <c r="K203" s="89">
        <f>+'April 2003'!K203+'July 2003'!K202</f>
        <v>6113</v>
      </c>
      <c r="L203" s="29"/>
      <c r="M203" s="103"/>
      <c r="N203" s="109"/>
      <c r="O203" s="6"/>
    </row>
    <row r="204" spans="1:15" ht="15.75">
      <c r="A204" s="108"/>
      <c r="B204" s="74" t="s">
        <v>144</v>
      </c>
      <c r="C204" s="67"/>
      <c r="D204" s="67"/>
      <c r="E204" s="74"/>
      <c r="F204" s="74"/>
      <c r="G204" s="74"/>
      <c r="H204" s="29"/>
      <c r="I204" s="29"/>
      <c r="J204" s="29"/>
      <c r="K204" s="89">
        <f>39+13+24+37+79+95+96+27+47+27+200+44+35+53+194</f>
        <v>1010</v>
      </c>
      <c r="L204" s="29"/>
      <c r="M204" s="103"/>
      <c r="N204" s="109"/>
      <c r="O204" s="6"/>
    </row>
    <row r="205" spans="1:15" ht="15.75">
      <c r="A205" s="108"/>
      <c r="B205" s="74"/>
      <c r="C205" s="67"/>
      <c r="D205" s="67"/>
      <c r="E205" s="74"/>
      <c r="F205" s="74"/>
      <c r="G205" s="74"/>
      <c r="H205" s="29"/>
      <c r="I205" s="29"/>
      <c r="J205" s="29"/>
      <c r="K205" s="89"/>
      <c r="L205" s="29"/>
      <c r="M205" s="103"/>
      <c r="N205" s="109"/>
      <c r="O205" s="6"/>
    </row>
    <row r="206" spans="1:15" ht="15.75">
      <c r="A206" s="106"/>
      <c r="B206" s="74" t="s">
        <v>145</v>
      </c>
      <c r="C206" s="67"/>
      <c r="D206" s="67"/>
      <c r="E206" s="67"/>
      <c r="F206" s="67"/>
      <c r="G206" s="67"/>
      <c r="H206" s="29"/>
      <c r="I206" s="29"/>
      <c r="J206" s="29"/>
      <c r="K206" s="66">
        <f>G142</f>
        <v>63</v>
      </c>
      <c r="L206" s="29"/>
      <c r="M206" s="103"/>
      <c r="N206" s="109"/>
      <c r="O206" s="6"/>
    </row>
    <row r="207" spans="1:15" ht="15.75">
      <c r="A207" s="106"/>
      <c r="B207" s="74" t="s">
        <v>146</v>
      </c>
      <c r="C207" s="67"/>
      <c r="D207" s="67"/>
      <c r="E207" s="67"/>
      <c r="F207" s="67"/>
      <c r="G207" s="67"/>
      <c r="H207" s="29"/>
      <c r="I207" s="29"/>
      <c r="J207" s="29"/>
      <c r="K207" s="66">
        <f>+'April 2003'!K207+'July 2003'!K206</f>
        <v>655</v>
      </c>
      <c r="L207" s="29"/>
      <c r="M207" s="103"/>
      <c r="N207" s="109"/>
      <c r="O207" s="6"/>
    </row>
    <row r="208" spans="1:15" ht="15.75">
      <c r="A208" s="106"/>
      <c r="B208" s="74" t="s">
        <v>144</v>
      </c>
      <c r="C208" s="67"/>
      <c r="D208" s="67"/>
      <c r="E208" s="67"/>
      <c r="F208" s="67"/>
      <c r="G208" s="67"/>
      <c r="H208" s="29"/>
      <c r="I208" s="29"/>
      <c r="J208" s="29"/>
      <c r="K208" s="66"/>
      <c r="L208" s="29"/>
      <c r="M208" s="103"/>
      <c r="N208" s="109"/>
      <c r="O208" s="6"/>
    </row>
    <row r="209" spans="1:15" ht="15.75">
      <c r="A209" s="106"/>
      <c r="B209" s="74"/>
      <c r="C209" s="67"/>
      <c r="D209" s="67"/>
      <c r="E209" s="67"/>
      <c r="F209" s="67"/>
      <c r="G209" s="67"/>
      <c r="H209" s="29"/>
      <c r="I209" s="29"/>
      <c r="J209" s="29"/>
      <c r="K209" s="66"/>
      <c r="L209" s="29"/>
      <c r="M209" s="103"/>
      <c r="N209" s="109"/>
      <c r="O209" s="6"/>
    </row>
    <row r="210" spans="1:15" ht="15.75">
      <c r="A210" s="108"/>
      <c r="B210" s="162" t="s">
        <v>147</v>
      </c>
      <c r="C210" s="67"/>
      <c r="D210" s="67"/>
      <c r="E210" s="74"/>
      <c r="F210" s="74"/>
      <c r="G210" s="74"/>
      <c r="H210" s="29"/>
      <c r="I210" s="29"/>
      <c r="J210" s="29"/>
      <c r="K210" s="110"/>
      <c r="L210" s="29"/>
      <c r="M210" s="103"/>
      <c r="N210" s="109"/>
      <c r="O210" s="6"/>
    </row>
    <row r="211" spans="1:15" ht="15.75">
      <c r="A211" s="108"/>
      <c r="B211" s="74" t="s">
        <v>148</v>
      </c>
      <c r="C211" s="67"/>
      <c r="D211" s="67"/>
      <c r="E211" s="74"/>
      <c r="F211" s="74"/>
      <c r="G211" s="74"/>
      <c r="H211" s="29"/>
      <c r="I211" s="29"/>
      <c r="J211" s="29"/>
      <c r="K211" s="110">
        <v>0</v>
      </c>
      <c r="L211" s="29"/>
      <c r="M211" s="103"/>
      <c r="N211" s="109"/>
      <c r="O211" s="6"/>
    </row>
    <row r="212" spans="1:15" ht="15.75">
      <c r="A212" s="106"/>
      <c r="B212" s="74" t="s">
        <v>149</v>
      </c>
      <c r="C212" s="67"/>
      <c r="D212" s="67"/>
      <c r="E212" s="111"/>
      <c r="F212" s="111"/>
      <c r="G212" s="112"/>
      <c r="H212" s="29"/>
      <c r="I212" s="29"/>
      <c r="J212" s="29"/>
      <c r="K212" s="110">
        <v>0</v>
      </c>
      <c r="L212" s="29"/>
      <c r="M212" s="103"/>
      <c r="N212" s="109"/>
      <c r="O212" s="6"/>
    </row>
    <row r="213" spans="1:15" ht="15.75">
      <c r="A213" s="106"/>
      <c r="B213" s="74" t="s">
        <v>150</v>
      </c>
      <c r="C213" s="67"/>
      <c r="D213" s="67"/>
      <c r="E213" s="111"/>
      <c r="F213" s="111"/>
      <c r="G213" s="112"/>
      <c r="H213" s="29"/>
      <c r="I213" s="29"/>
      <c r="J213" s="29"/>
      <c r="K213" s="110">
        <v>0</v>
      </c>
      <c r="L213" s="29"/>
      <c r="M213" s="103"/>
      <c r="N213" s="109"/>
      <c r="O213" s="6"/>
    </row>
    <row r="214" spans="1:15" ht="15.75">
      <c r="A214" s="106"/>
      <c r="B214" s="74" t="s">
        <v>151</v>
      </c>
      <c r="C214" s="67"/>
      <c r="D214" s="67"/>
      <c r="E214" s="113"/>
      <c r="F214" s="111"/>
      <c r="G214" s="112"/>
      <c r="H214" s="29"/>
      <c r="I214" s="29"/>
      <c r="J214" s="29"/>
      <c r="K214" s="110">
        <v>0</v>
      </c>
      <c r="L214" s="29"/>
      <c r="M214" s="103"/>
      <c r="N214" s="109"/>
      <c r="O214" s="6"/>
    </row>
    <row r="215" spans="1:15" ht="15.75">
      <c r="A215" s="106"/>
      <c r="B215" s="74"/>
      <c r="C215" s="67"/>
      <c r="D215" s="67"/>
      <c r="E215" s="113"/>
      <c r="F215" s="111"/>
      <c r="G215" s="112"/>
      <c r="H215" s="29"/>
      <c r="I215" s="37"/>
      <c r="J215" s="37"/>
      <c r="K215" s="114"/>
      <c r="L215" s="37"/>
      <c r="M215" s="103"/>
      <c r="N215" s="109"/>
      <c r="O215" s="6"/>
    </row>
    <row r="216" spans="1:15" ht="15.75">
      <c r="A216" s="106"/>
      <c r="B216" s="162" t="s">
        <v>152</v>
      </c>
      <c r="C216" s="67"/>
      <c r="D216" s="67"/>
      <c r="E216" s="113"/>
      <c r="F216" s="111"/>
      <c r="G216" s="112"/>
      <c r="H216" s="29"/>
      <c r="I216" s="37"/>
      <c r="J216" s="37"/>
      <c r="K216" s="114"/>
      <c r="L216" s="37"/>
      <c r="M216" s="103"/>
      <c r="N216" s="109"/>
      <c r="O216" s="6"/>
    </row>
    <row r="217" spans="1:15" ht="15.75">
      <c r="A217" s="106"/>
      <c r="B217" s="74" t="s">
        <v>153</v>
      </c>
      <c r="C217" s="67"/>
      <c r="D217" s="67"/>
      <c r="E217" s="113"/>
      <c r="F217" s="111"/>
      <c r="G217" s="112"/>
      <c r="H217" s="29"/>
      <c r="I217" s="37"/>
      <c r="J217" s="37"/>
      <c r="K217" s="115">
        <v>274</v>
      </c>
      <c r="L217" s="37"/>
      <c r="M217" s="103"/>
      <c r="N217" s="109"/>
      <c r="O217" s="6"/>
    </row>
    <row r="218" spans="1:15" ht="15.75">
      <c r="A218" s="106"/>
      <c r="B218" s="74" t="s">
        <v>149</v>
      </c>
      <c r="C218" s="67"/>
      <c r="D218" s="67"/>
      <c r="E218" s="113"/>
      <c r="F218" s="111"/>
      <c r="G218" s="112"/>
      <c r="H218" s="29"/>
      <c r="I218" s="37"/>
      <c r="J218" s="37"/>
      <c r="K218" s="115">
        <v>2.28</v>
      </c>
      <c r="L218" s="37"/>
      <c r="M218" s="103"/>
      <c r="N218" s="109"/>
      <c r="O218" s="6"/>
    </row>
    <row r="219" spans="1:15" ht="15.75">
      <c r="A219" s="106"/>
      <c r="B219" s="74" t="s">
        <v>154</v>
      </c>
      <c r="C219" s="67"/>
      <c r="D219" s="67"/>
      <c r="E219" s="113"/>
      <c r="F219" s="111"/>
      <c r="G219" s="112"/>
      <c r="H219" s="29"/>
      <c r="I219" s="37"/>
      <c r="J219" s="37"/>
      <c r="K219" s="115">
        <v>32</v>
      </c>
      <c r="L219" s="37"/>
      <c r="M219" s="103"/>
      <c r="N219" s="109"/>
      <c r="O219" s="6"/>
    </row>
    <row r="220" spans="1:15" ht="15.75">
      <c r="A220" s="106"/>
      <c r="B220" s="74"/>
      <c r="C220" s="67"/>
      <c r="D220" s="67"/>
      <c r="E220" s="113"/>
      <c r="F220" s="111"/>
      <c r="G220" s="112"/>
      <c r="H220" s="29"/>
      <c r="I220" s="37"/>
      <c r="J220" s="37"/>
      <c r="K220" s="114"/>
      <c r="L220" s="37"/>
      <c r="M220" s="103"/>
      <c r="N220" s="109"/>
      <c r="O220" s="6"/>
    </row>
    <row r="221" spans="1:15" ht="15.75">
      <c r="A221" s="28"/>
      <c r="B221" s="32" t="s">
        <v>155</v>
      </c>
      <c r="C221" s="119"/>
      <c r="D221" s="119"/>
      <c r="E221" s="120"/>
      <c r="F221" s="119"/>
      <c r="G221" s="120"/>
      <c r="H221" s="119"/>
      <c r="I221" s="120" t="s">
        <v>206</v>
      </c>
      <c r="J221" s="119" t="s">
        <v>208</v>
      </c>
      <c r="K221" s="120" t="s">
        <v>215</v>
      </c>
      <c r="L221" s="119" t="s">
        <v>208</v>
      </c>
      <c r="M221" s="121"/>
      <c r="N221" s="109"/>
      <c r="O221" s="6"/>
    </row>
    <row r="222" spans="1:15" ht="15.75">
      <c r="A222" s="28"/>
      <c r="B222" s="67" t="s">
        <v>156</v>
      </c>
      <c r="C222" s="116"/>
      <c r="D222" s="116"/>
      <c r="E222" s="67"/>
      <c r="F222" s="116"/>
      <c r="G222" s="29"/>
      <c r="H222" s="116"/>
      <c r="I222" s="67">
        <v>5401</v>
      </c>
      <c r="J222" s="116">
        <f>I222/I226</f>
        <v>0.962230536255122</v>
      </c>
      <c r="K222" s="66">
        <v>80328</v>
      </c>
      <c r="L222" s="117">
        <f>K222/K226</f>
        <v>0.9607003611835339</v>
      </c>
      <c r="M222" s="103"/>
      <c r="N222" s="109"/>
      <c r="O222" s="6"/>
    </row>
    <row r="223" spans="1:15" ht="15.75">
      <c r="A223" s="28"/>
      <c r="B223" s="67" t="s">
        <v>157</v>
      </c>
      <c r="C223" s="116"/>
      <c r="D223" s="116"/>
      <c r="E223" s="67"/>
      <c r="F223" s="116"/>
      <c r="G223" s="29"/>
      <c r="H223" s="118"/>
      <c r="I223" s="67">
        <v>90</v>
      </c>
      <c r="J223" s="116">
        <f>I223/I226</f>
        <v>0.016034206306787813</v>
      </c>
      <c r="K223" s="66">
        <v>1360</v>
      </c>
      <c r="L223" s="117">
        <f>K223/K226</f>
        <v>0.016265218743272657</v>
      </c>
      <c r="M223" s="103"/>
      <c r="N223" s="109"/>
      <c r="O223" s="6"/>
    </row>
    <row r="224" spans="1:15" ht="15.75">
      <c r="A224" s="28"/>
      <c r="B224" s="67" t="s">
        <v>158</v>
      </c>
      <c r="C224" s="116"/>
      <c r="D224" s="116"/>
      <c r="E224" s="67"/>
      <c r="F224" s="116"/>
      <c r="G224" s="29"/>
      <c r="H224" s="118"/>
      <c r="I224" s="67">
        <v>44</v>
      </c>
      <c r="J224" s="116">
        <f>I224/I226</f>
        <v>0.007838945305540709</v>
      </c>
      <c r="K224" s="66">
        <v>762</v>
      </c>
      <c r="L224" s="117">
        <f>K224/K226</f>
        <v>0.009113306384098357</v>
      </c>
      <c r="M224" s="103"/>
      <c r="N224" s="109"/>
      <c r="O224" s="6"/>
    </row>
    <row r="225" spans="1:15" ht="15.75">
      <c r="A225" s="28"/>
      <c r="B225" s="67" t="s">
        <v>159</v>
      </c>
      <c r="C225" s="116"/>
      <c r="D225" s="116"/>
      <c r="E225" s="67"/>
      <c r="F225" s="116"/>
      <c r="G225" s="29"/>
      <c r="H225" s="118"/>
      <c r="I225" s="67">
        <f>28+16+9+17+8</f>
        <v>78</v>
      </c>
      <c r="J225" s="116">
        <f>I225/I226</f>
        <v>0.01389631213254944</v>
      </c>
      <c r="K225" s="66">
        <f>370+314+146+193+141</f>
        <v>1164</v>
      </c>
      <c r="L225" s="117">
        <f>K225/K226</f>
        <v>0.013921113689095127</v>
      </c>
      <c r="M225" s="103"/>
      <c r="N225" s="109"/>
      <c r="O225" s="6"/>
    </row>
    <row r="226" spans="1:15" ht="15.75">
      <c r="A226" s="28"/>
      <c r="B226" s="29"/>
      <c r="C226" s="29"/>
      <c r="D226" s="29"/>
      <c r="E226" s="37"/>
      <c r="F226" s="29"/>
      <c r="G226" s="29"/>
      <c r="H226" s="29"/>
      <c r="I226" s="65">
        <f>SUM(I222:I225)</f>
        <v>5613</v>
      </c>
      <c r="J226" s="117">
        <f>SUM(J222:J225)</f>
        <v>1</v>
      </c>
      <c r="K226" s="66">
        <f>SUM(K222:K225)</f>
        <v>83614</v>
      </c>
      <c r="L226" s="117">
        <f>SUM(L222:L225)</f>
        <v>1</v>
      </c>
      <c r="M226" s="103"/>
      <c r="N226" s="29"/>
      <c r="O226" s="6"/>
    </row>
    <row r="227" spans="1:15" ht="15.75">
      <c r="A227" s="28"/>
      <c r="B227" s="29"/>
      <c r="C227" s="29"/>
      <c r="D227" s="29"/>
      <c r="E227" s="37"/>
      <c r="F227" s="29"/>
      <c r="G227" s="29"/>
      <c r="H227" s="29"/>
      <c r="I227" s="65"/>
      <c r="J227" s="117"/>
      <c r="K227" s="66"/>
      <c r="L227" s="117"/>
      <c r="M227" s="103"/>
      <c r="N227" s="29"/>
      <c r="O227" s="6"/>
    </row>
    <row r="228" spans="1:15" ht="15.75">
      <c r="A228" s="28"/>
      <c r="B228" s="32" t="s">
        <v>160</v>
      </c>
      <c r="C228" s="119"/>
      <c r="D228" s="119"/>
      <c r="E228" s="120"/>
      <c r="F228" s="119"/>
      <c r="G228" s="120"/>
      <c r="H228" s="119"/>
      <c r="I228" s="120" t="s">
        <v>206</v>
      </c>
      <c r="J228" s="119" t="s">
        <v>208</v>
      </c>
      <c r="K228" s="120" t="s">
        <v>215</v>
      </c>
      <c r="L228" s="119" t="s">
        <v>208</v>
      </c>
      <c r="M228" s="121"/>
      <c r="N228" s="109"/>
      <c r="O228" s="6"/>
    </row>
    <row r="229" spans="1:15" ht="15.75">
      <c r="A229" s="28"/>
      <c r="B229" s="67" t="s">
        <v>156</v>
      </c>
      <c r="C229" s="116"/>
      <c r="D229" s="116"/>
      <c r="E229" s="67"/>
      <c r="F229" s="116"/>
      <c r="G229" s="29"/>
      <c r="H229" s="116"/>
      <c r="I229" s="67">
        <v>15016</v>
      </c>
      <c r="J229" s="116">
        <f>I229/I233</f>
        <v>0.9832372970141435</v>
      </c>
      <c r="K229" s="66">
        <v>83772</v>
      </c>
      <c r="L229" s="116">
        <f>K229/K233</f>
        <v>0.9822479656684567</v>
      </c>
      <c r="M229" s="103"/>
      <c r="N229" s="109"/>
      <c r="O229" s="6"/>
    </row>
    <row r="230" spans="1:15" ht="15.75">
      <c r="A230" s="28"/>
      <c r="B230" s="67" t="s">
        <v>157</v>
      </c>
      <c r="C230" s="116"/>
      <c r="D230" s="116"/>
      <c r="E230" s="67"/>
      <c r="F230" s="116"/>
      <c r="G230" s="29"/>
      <c r="H230" s="118"/>
      <c r="I230" s="67">
        <v>100</v>
      </c>
      <c r="J230" s="116">
        <f>I230/I233</f>
        <v>0.006547930853850184</v>
      </c>
      <c r="K230" s="66">
        <v>668</v>
      </c>
      <c r="L230" s="116">
        <f>K230/K233</f>
        <v>0.007832469572966254</v>
      </c>
      <c r="M230" s="103"/>
      <c r="N230" s="109"/>
      <c r="O230" s="6"/>
    </row>
    <row r="231" spans="1:15" ht="15.75">
      <c r="A231" s="28"/>
      <c r="B231" s="67" t="s">
        <v>158</v>
      </c>
      <c r="C231" s="116"/>
      <c r="D231" s="116"/>
      <c r="E231" s="67"/>
      <c r="F231" s="116"/>
      <c r="G231" s="29"/>
      <c r="H231" s="118"/>
      <c r="I231" s="67">
        <v>43</v>
      </c>
      <c r="J231" s="116">
        <f>I231/I233</f>
        <v>0.002815610267155579</v>
      </c>
      <c r="K231" s="66">
        <v>211</v>
      </c>
      <c r="L231" s="116">
        <f>K231/K233</f>
        <v>0.002474028562718383</v>
      </c>
      <c r="M231" s="103"/>
      <c r="N231" s="109"/>
      <c r="O231" s="6"/>
    </row>
    <row r="232" spans="1:15" ht="15.75">
      <c r="A232" s="28"/>
      <c r="B232" s="67" t="s">
        <v>159</v>
      </c>
      <c r="C232" s="116"/>
      <c r="D232" s="116"/>
      <c r="E232" s="67"/>
      <c r="F232" s="116"/>
      <c r="G232" s="29"/>
      <c r="H232" s="118"/>
      <c r="I232" s="67">
        <f>27+20+18+32+16</f>
        <v>113</v>
      </c>
      <c r="J232" s="116">
        <f>I232/I233</f>
        <v>0.007399161864850707</v>
      </c>
      <c r="K232" s="66">
        <f>134+129+94+166+112</f>
        <v>635</v>
      </c>
      <c r="L232" s="116">
        <f>K232/K233</f>
        <v>0.00744553619585864</v>
      </c>
      <c r="M232" s="103"/>
      <c r="N232" s="109"/>
      <c r="O232" s="6"/>
    </row>
    <row r="233" spans="1:15" ht="15.75">
      <c r="A233" s="28"/>
      <c r="B233" s="29"/>
      <c r="C233" s="29"/>
      <c r="D233" s="29"/>
      <c r="E233" s="37"/>
      <c r="F233" s="29"/>
      <c r="G233" s="29"/>
      <c r="H233" s="29"/>
      <c r="I233" s="65">
        <f>SUM(I229:I232)</f>
        <v>15272</v>
      </c>
      <c r="J233" s="117">
        <f>SUM(J229:J232)</f>
        <v>1</v>
      </c>
      <c r="K233" s="66">
        <f>SUM(K229:K232)</f>
        <v>85286</v>
      </c>
      <c r="L233" s="117">
        <f>SUM(L229:L232)</f>
        <v>1</v>
      </c>
      <c r="M233" s="103"/>
      <c r="N233" s="29"/>
      <c r="O233" s="6"/>
    </row>
    <row r="234" spans="1:15" ht="15.75">
      <c r="A234" s="28"/>
      <c r="B234" s="29"/>
      <c r="C234" s="29"/>
      <c r="D234" s="29"/>
      <c r="E234" s="37"/>
      <c r="F234" s="29"/>
      <c r="G234" s="29"/>
      <c r="H234" s="29"/>
      <c r="I234" s="65"/>
      <c r="J234" s="117"/>
      <c r="K234" s="66"/>
      <c r="L234" s="117"/>
      <c r="M234" s="103"/>
      <c r="N234" s="29"/>
      <c r="O234" s="6"/>
    </row>
    <row r="235" spans="1:15" ht="15.75">
      <c r="A235" s="28"/>
      <c r="B235" s="29" t="s">
        <v>161</v>
      </c>
      <c r="C235" s="29"/>
      <c r="D235" s="29"/>
      <c r="E235" s="37"/>
      <c r="F235" s="29"/>
      <c r="G235" s="29"/>
      <c r="H235" s="29"/>
      <c r="I235" s="65"/>
      <c r="J235" s="117"/>
      <c r="K235" s="66">
        <f>K226+K233</f>
        <v>168900</v>
      </c>
      <c r="L235" s="117"/>
      <c r="M235" s="103"/>
      <c r="N235" s="29"/>
      <c r="O235" s="6"/>
    </row>
    <row r="236" spans="1:15" ht="15.75">
      <c r="A236" s="28"/>
      <c r="B236" s="29"/>
      <c r="C236" s="29"/>
      <c r="D236" s="29"/>
      <c r="E236" s="37"/>
      <c r="F236" s="29"/>
      <c r="G236" s="29"/>
      <c r="H236" s="29"/>
      <c r="I236" s="65"/>
      <c r="J236" s="117"/>
      <c r="K236" s="66"/>
      <c r="L236" s="117"/>
      <c r="M236" s="103"/>
      <c r="N236" s="29"/>
      <c r="O236" s="6"/>
    </row>
    <row r="237" spans="1:15" ht="15.75">
      <c r="A237" s="28"/>
      <c r="B237" s="29"/>
      <c r="C237" s="29"/>
      <c r="D237" s="29"/>
      <c r="E237" s="37"/>
      <c r="F237" s="29"/>
      <c r="G237" s="29"/>
      <c r="H237" s="29"/>
      <c r="I237" s="65"/>
      <c r="J237" s="117"/>
      <c r="K237" s="66"/>
      <c r="L237" s="117"/>
      <c r="M237" s="103"/>
      <c r="N237" s="29"/>
      <c r="O237" s="6"/>
    </row>
    <row r="238" spans="1:15" ht="15.75">
      <c r="A238" s="122"/>
      <c r="B238" s="17" t="s">
        <v>162</v>
      </c>
      <c r="C238" s="123"/>
      <c r="D238" s="123"/>
      <c r="E238" s="20" t="s">
        <v>182</v>
      </c>
      <c r="F238" s="18"/>
      <c r="G238" s="17" t="s">
        <v>194</v>
      </c>
      <c r="H238" s="124"/>
      <c r="I238" s="124"/>
      <c r="J238" s="124"/>
      <c r="K238" s="125"/>
      <c r="L238" s="14"/>
      <c r="M238" s="14"/>
      <c r="N238" s="14"/>
      <c r="O238" s="6"/>
    </row>
    <row r="239" spans="1:15" ht="15.75">
      <c r="A239" s="122"/>
      <c r="B239" s="15" t="s">
        <v>163</v>
      </c>
      <c r="C239" s="126"/>
      <c r="D239" s="126"/>
      <c r="E239" s="127" t="s">
        <v>183</v>
      </c>
      <c r="F239" s="15"/>
      <c r="G239" s="15" t="s">
        <v>195</v>
      </c>
      <c r="H239" s="126"/>
      <c r="I239" s="126"/>
      <c r="J239" s="14"/>
      <c r="K239" s="14"/>
      <c r="L239" s="14"/>
      <c r="M239" s="14"/>
      <c r="N239" s="14"/>
      <c r="O239" s="6"/>
    </row>
    <row r="240" spans="1:15" ht="15.75">
      <c r="A240" s="122"/>
      <c r="B240" s="15" t="s">
        <v>164</v>
      </c>
      <c r="C240" s="126"/>
      <c r="D240" s="126"/>
      <c r="E240" s="127" t="s">
        <v>184</v>
      </c>
      <c r="F240" s="15"/>
      <c r="G240" s="15" t="s">
        <v>196</v>
      </c>
      <c r="H240" s="126"/>
      <c r="I240" s="126"/>
      <c r="J240" s="14"/>
      <c r="K240" s="14"/>
      <c r="L240" s="14"/>
      <c r="M240" s="14"/>
      <c r="N240" s="14"/>
      <c r="O240" s="6"/>
    </row>
    <row r="241" spans="1:15" ht="15.75">
      <c r="A241" s="122"/>
      <c r="B241" s="15"/>
      <c r="C241" s="126"/>
      <c r="D241" s="126"/>
      <c r="E241" s="127"/>
      <c r="F241" s="15"/>
      <c r="G241" s="15"/>
      <c r="H241" s="126"/>
      <c r="I241" s="126"/>
      <c r="J241" s="14"/>
      <c r="K241" s="14"/>
      <c r="L241" s="14"/>
      <c r="M241" s="14"/>
      <c r="N241" s="14"/>
      <c r="O241" s="6"/>
    </row>
    <row r="242" spans="1:15" ht="15.75">
      <c r="A242" s="122"/>
      <c r="B242" s="15"/>
      <c r="C242" s="126"/>
      <c r="D242" s="126"/>
      <c r="E242" s="127"/>
      <c r="F242" s="15"/>
      <c r="G242" s="15"/>
      <c r="H242" s="126"/>
      <c r="I242" s="126"/>
      <c r="J242" s="14"/>
      <c r="K242" s="14"/>
      <c r="L242" s="14"/>
      <c r="M242" s="14"/>
      <c r="N242" s="14"/>
      <c r="O242" s="6"/>
    </row>
    <row r="243" spans="1:15" ht="15.75">
      <c r="A243" s="122"/>
      <c r="B243" s="15" t="str">
        <f>B174</f>
        <v>PASF1 INVESTOR REPORT QUARTER ENDING JULY 2003</v>
      </c>
      <c r="C243" s="126"/>
      <c r="D243" s="126"/>
      <c r="E243" s="127"/>
      <c r="F243" s="15"/>
      <c r="G243" s="15"/>
      <c r="H243" s="126"/>
      <c r="I243" s="126"/>
      <c r="J243" s="14"/>
      <c r="K243" s="14"/>
      <c r="L243" s="14"/>
      <c r="M243" s="14"/>
      <c r="N243" s="14"/>
      <c r="O243" s="6"/>
    </row>
    <row r="244" spans="1:14" ht="15">
      <c r="A244" s="130"/>
      <c r="B244" s="130"/>
      <c r="C244" s="130"/>
      <c r="D244" s="130"/>
      <c r="E244" s="130"/>
      <c r="F244" s="130"/>
      <c r="G244" s="130"/>
      <c r="H244" s="130"/>
      <c r="I244" s="130"/>
      <c r="J244" s="130"/>
      <c r="K244" s="130"/>
      <c r="L244" s="130"/>
      <c r="M244" s="130"/>
      <c r="N244" s="130"/>
    </row>
  </sheetData>
  <printOptions horizontalCentered="1" verticalCentered="1"/>
  <pageMargins left="0.2362204724409449" right="0.4330708661417323" top="0.2362204724409449" bottom="0.31496062992125984" header="0" footer="0"/>
  <pageSetup horizontalDpi="600" verticalDpi="600" orientation="landscape" paperSize="9" scale="48" r:id="rId2"/>
  <rowBreaks count="3" manualBreakCount="3">
    <brk id="53" max="14" man="1"/>
    <brk id="116" max="14" man="1"/>
    <brk id="174" max="14" man="1"/>
  </rowBreaks>
  <drawing r:id="rId1"/>
</worksheet>
</file>

<file path=xl/worksheets/sheet12.xml><?xml version="1.0" encoding="utf-8"?>
<worksheet xmlns="http://schemas.openxmlformats.org/spreadsheetml/2006/main" xmlns:r="http://schemas.openxmlformats.org/officeDocument/2006/relationships">
  <dimension ref="A1:T24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49.6640625" style="1" customWidth="1"/>
    <col min="3" max="3" width="12.6640625" style="1" customWidth="1"/>
    <col min="4" max="4" width="18.6640625" style="1" customWidth="1"/>
    <col min="5" max="5" width="14.6640625" style="1" customWidth="1"/>
    <col min="6" max="6" width="4.6640625" style="1" customWidth="1"/>
    <col min="7" max="7" width="14.6640625" style="1" customWidth="1"/>
    <col min="8" max="8" width="4.6640625" style="1" customWidth="1"/>
    <col min="9" max="9" width="19.6640625" style="1" customWidth="1"/>
    <col min="10" max="10" width="6.6640625" style="1" customWidth="1"/>
    <col min="11" max="11" width="11.6640625" style="1" customWidth="1"/>
    <col min="12" max="12" width="8.6640625" style="1" customWidth="1"/>
    <col min="13" max="13" width="14.6640625" style="1" customWidth="1"/>
    <col min="14" max="14" width="2.6640625" style="1" customWidth="1"/>
    <col min="15" max="16384" width="9.6640625" style="1" customWidth="1"/>
  </cols>
  <sheetData>
    <row r="1" spans="1:15" ht="20.25">
      <c r="A1" s="2"/>
      <c r="B1" s="3" t="s">
        <v>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44" t="s">
        <v>1</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241</v>
      </c>
      <c r="C5" s="13"/>
      <c r="D5" s="13"/>
      <c r="E5" s="9"/>
      <c r="F5" s="9"/>
      <c r="G5" s="9"/>
      <c r="H5" s="9"/>
      <c r="I5" s="9"/>
      <c r="J5" s="9"/>
      <c r="K5" s="9"/>
      <c r="L5" s="9"/>
      <c r="M5" s="9"/>
      <c r="N5" s="9"/>
      <c r="O5" s="6"/>
    </row>
    <row r="6" spans="1:15" ht="15.75">
      <c r="A6" s="7"/>
      <c r="B6" s="12" t="s">
        <v>242</v>
      </c>
      <c r="C6" s="13"/>
      <c r="D6" s="13"/>
      <c r="E6" s="9"/>
      <c r="F6" s="9"/>
      <c r="G6" s="9"/>
      <c r="H6" s="9"/>
      <c r="I6" s="9"/>
      <c r="J6" s="9"/>
      <c r="K6" s="9"/>
      <c r="L6" s="9"/>
      <c r="M6" s="9"/>
      <c r="N6" s="9"/>
      <c r="O6" s="6"/>
    </row>
    <row r="7" spans="1:15" ht="15.75">
      <c r="A7" s="7"/>
      <c r="B7" s="12" t="s">
        <v>4</v>
      </c>
      <c r="C7" s="13"/>
      <c r="D7" s="13"/>
      <c r="E7" s="9"/>
      <c r="F7" s="9"/>
      <c r="G7" s="9"/>
      <c r="H7" s="9"/>
      <c r="I7" s="9"/>
      <c r="J7" s="9"/>
      <c r="K7" s="9"/>
      <c r="L7" s="9"/>
      <c r="M7" s="9"/>
      <c r="N7" s="9"/>
      <c r="O7" s="6"/>
    </row>
    <row r="8" spans="1:15" ht="15.75">
      <c r="A8" s="7"/>
      <c r="B8" s="14"/>
      <c r="C8" s="13"/>
      <c r="D8" s="13"/>
      <c r="E8" s="9"/>
      <c r="F8" s="9"/>
      <c r="G8" s="9"/>
      <c r="H8" s="9"/>
      <c r="I8" s="9"/>
      <c r="J8" s="9"/>
      <c r="K8" s="9"/>
      <c r="L8" s="9"/>
      <c r="M8" s="9"/>
      <c r="N8" s="9"/>
      <c r="O8" s="6"/>
    </row>
    <row r="9" spans="1:15" ht="15.75">
      <c r="A9" s="7"/>
      <c r="B9" s="13"/>
      <c r="C9" s="13"/>
      <c r="D9" s="13"/>
      <c r="E9" s="15"/>
      <c r="F9" s="15"/>
      <c r="G9" s="9"/>
      <c r="H9" s="9"/>
      <c r="I9" s="9"/>
      <c r="J9" s="9"/>
      <c r="K9" s="9"/>
      <c r="L9" s="9"/>
      <c r="M9" s="9"/>
      <c r="N9" s="9"/>
      <c r="O9" s="6"/>
    </row>
    <row r="10" spans="1:15" ht="15.75">
      <c r="A10" s="7"/>
      <c r="B10" s="15" t="s">
        <v>5</v>
      </c>
      <c r="C10" s="15"/>
      <c r="D10" s="15"/>
      <c r="E10" s="9"/>
      <c r="F10" s="9"/>
      <c r="G10" s="9"/>
      <c r="H10" s="9"/>
      <c r="I10" s="9"/>
      <c r="J10" s="9"/>
      <c r="K10" s="9"/>
      <c r="L10" s="9"/>
      <c r="M10" s="9"/>
      <c r="N10" s="9"/>
      <c r="O10" s="6"/>
    </row>
    <row r="11" spans="1:15" ht="15.75">
      <c r="A11" s="7"/>
      <c r="B11" s="15"/>
      <c r="C11" s="15"/>
      <c r="D11" s="15"/>
      <c r="E11" s="9"/>
      <c r="F11" s="9"/>
      <c r="G11" s="9"/>
      <c r="H11" s="9"/>
      <c r="I11" s="9"/>
      <c r="J11" s="9"/>
      <c r="K11" s="9"/>
      <c r="L11" s="9"/>
      <c r="M11" s="9"/>
      <c r="N11" s="9"/>
      <c r="O11" s="6"/>
    </row>
    <row r="12" spans="1:15" ht="15.75">
      <c r="A12" s="2"/>
      <c r="B12" s="5"/>
      <c r="C12" s="5"/>
      <c r="D12" s="5"/>
      <c r="E12" s="5"/>
      <c r="F12" s="5"/>
      <c r="G12" s="5"/>
      <c r="H12" s="5"/>
      <c r="I12" s="5"/>
      <c r="J12" s="5"/>
      <c r="K12" s="5"/>
      <c r="L12" s="5"/>
      <c r="M12" s="5"/>
      <c r="N12" s="5"/>
      <c r="O12" s="6"/>
    </row>
    <row r="13" spans="1:15" ht="15.75">
      <c r="A13" s="7"/>
      <c r="B13" s="17" t="s">
        <v>6</v>
      </c>
      <c r="C13" s="17"/>
      <c r="D13" s="17"/>
      <c r="E13" s="18"/>
      <c r="F13" s="18"/>
      <c r="G13" s="18"/>
      <c r="H13" s="18"/>
      <c r="I13" s="18"/>
      <c r="J13" s="18"/>
      <c r="K13" s="18"/>
      <c r="L13" s="18"/>
      <c r="M13" s="19" t="s">
        <v>217</v>
      </c>
      <c r="N13" s="9"/>
      <c r="O13" s="6"/>
    </row>
    <row r="14" spans="1:15" ht="15.75">
      <c r="A14" s="7"/>
      <c r="B14" s="17" t="s">
        <v>7</v>
      </c>
      <c r="C14" s="17"/>
      <c r="D14" s="18"/>
      <c r="E14" s="18"/>
      <c r="F14" s="18"/>
      <c r="G14" s="18"/>
      <c r="H14" s="20" t="s">
        <v>197</v>
      </c>
      <c r="I14" s="21">
        <v>0.52</v>
      </c>
      <c r="J14" s="20" t="s">
        <v>207</v>
      </c>
      <c r="K14" s="21">
        <v>0.48</v>
      </c>
      <c r="L14" s="18"/>
      <c r="M14" s="19"/>
      <c r="N14" s="9"/>
      <c r="O14" s="6"/>
    </row>
    <row r="15" spans="1:15" ht="15.75">
      <c r="A15" s="7"/>
      <c r="B15" s="17" t="s">
        <v>8</v>
      </c>
      <c r="C15" s="17"/>
      <c r="D15" s="18"/>
      <c r="E15" s="18"/>
      <c r="F15" s="18"/>
      <c r="G15" s="18"/>
      <c r="H15" s="20" t="s">
        <v>197</v>
      </c>
      <c r="I15" s="21">
        <f>K233/K235</f>
        <v>0.4327230377552679</v>
      </c>
      <c r="J15" s="20" t="s">
        <v>207</v>
      </c>
      <c r="K15" s="21">
        <f>K226/K235</f>
        <v>0.5672769622447321</v>
      </c>
      <c r="L15" s="18"/>
      <c r="M15" s="19"/>
      <c r="N15" s="9"/>
      <c r="O15" s="6"/>
    </row>
    <row r="16" spans="1:15" ht="15.75">
      <c r="A16" s="7"/>
      <c r="B16" s="17" t="s">
        <v>9</v>
      </c>
      <c r="C16" s="17"/>
      <c r="D16" s="17"/>
      <c r="E16" s="18"/>
      <c r="F16" s="18"/>
      <c r="G16" s="18"/>
      <c r="H16" s="18"/>
      <c r="I16" s="18"/>
      <c r="J16" s="18"/>
      <c r="K16" s="18"/>
      <c r="L16" s="18"/>
      <c r="M16" s="20" t="s">
        <v>218</v>
      </c>
      <c r="N16" s="9"/>
      <c r="O16" s="6"/>
    </row>
    <row r="17" spans="1:15" ht="15.75">
      <c r="A17" s="7"/>
      <c r="B17" s="17" t="s">
        <v>10</v>
      </c>
      <c r="C17" s="17"/>
      <c r="D17" s="17"/>
      <c r="E17" s="18"/>
      <c r="F17" s="18"/>
      <c r="G17" s="18"/>
      <c r="H17" s="18"/>
      <c r="I17" s="18"/>
      <c r="J17" s="18"/>
      <c r="K17" s="18"/>
      <c r="L17" s="18"/>
      <c r="M17" s="22">
        <v>37945</v>
      </c>
      <c r="N17" s="9"/>
      <c r="O17" s="6"/>
    </row>
    <row r="18" spans="1:15" ht="15.75">
      <c r="A18" s="7"/>
      <c r="B18" s="9"/>
      <c r="C18" s="9"/>
      <c r="D18" s="9"/>
      <c r="E18" s="9"/>
      <c r="F18" s="9"/>
      <c r="G18" s="9"/>
      <c r="H18" s="9"/>
      <c r="I18" s="9"/>
      <c r="J18" s="9"/>
      <c r="K18" s="9"/>
      <c r="L18" s="9"/>
      <c r="M18" s="23"/>
      <c r="N18" s="9"/>
      <c r="O18" s="6"/>
    </row>
    <row r="19" spans="1:15" ht="15.75">
      <c r="A19" s="7"/>
      <c r="B19" s="24" t="s">
        <v>11</v>
      </c>
      <c r="C19" s="9"/>
      <c r="D19" s="9"/>
      <c r="E19" s="9"/>
      <c r="F19" s="9"/>
      <c r="G19" s="9"/>
      <c r="H19" s="9"/>
      <c r="I19" s="9"/>
      <c r="J19" s="9"/>
      <c r="K19" s="23"/>
      <c r="L19" s="9"/>
      <c r="M19" s="14"/>
      <c r="N19" s="9"/>
      <c r="O19" s="6"/>
    </row>
    <row r="20" spans="1:15" ht="15.75">
      <c r="A20" s="7"/>
      <c r="B20" s="9"/>
      <c r="C20" s="9"/>
      <c r="D20" s="9"/>
      <c r="E20" s="9"/>
      <c r="F20" s="9"/>
      <c r="G20" s="9"/>
      <c r="H20" s="9"/>
      <c r="I20" s="9"/>
      <c r="J20" s="9"/>
      <c r="K20" s="9"/>
      <c r="L20" s="9"/>
      <c r="M20" s="25"/>
      <c r="N20" s="9"/>
      <c r="O20" s="6"/>
    </row>
    <row r="21" spans="1:15" ht="31.5">
      <c r="A21" s="7"/>
      <c r="B21" s="9"/>
      <c r="C21" s="145" t="s">
        <v>165</v>
      </c>
      <c r="D21" s="168" t="s">
        <v>168</v>
      </c>
      <c r="E21" s="168" t="s">
        <v>179</v>
      </c>
      <c r="F21" s="168"/>
      <c r="G21" s="168" t="s">
        <v>185</v>
      </c>
      <c r="H21" s="168"/>
      <c r="I21" s="168" t="s">
        <v>198</v>
      </c>
      <c r="J21" s="26"/>
      <c r="K21" s="27"/>
      <c r="L21" s="14"/>
      <c r="M21" s="14"/>
      <c r="N21" s="9"/>
      <c r="O21" s="6"/>
    </row>
    <row r="22" spans="1:15" ht="15.75">
      <c r="A22" s="28"/>
      <c r="B22" s="29" t="s">
        <v>12</v>
      </c>
      <c r="C22" s="146" t="s">
        <v>166</v>
      </c>
      <c r="D22" s="30" t="s">
        <v>169</v>
      </c>
      <c r="E22" s="30"/>
      <c r="F22" s="30"/>
      <c r="G22" s="30" t="s">
        <v>186</v>
      </c>
      <c r="H22" s="30"/>
      <c r="I22" s="30" t="s">
        <v>199</v>
      </c>
      <c r="J22" s="30"/>
      <c r="K22" s="30"/>
      <c r="L22" s="31"/>
      <c r="M22" s="31"/>
      <c r="N22" s="29"/>
      <c r="O22" s="6"/>
    </row>
    <row r="23" spans="1:15" ht="15.75">
      <c r="A23" s="28"/>
      <c r="B23" s="29" t="s">
        <v>13</v>
      </c>
      <c r="C23" s="32"/>
      <c r="D23" s="33" t="s">
        <v>170</v>
      </c>
      <c r="E23" s="34"/>
      <c r="F23" s="33"/>
      <c r="G23" s="33" t="s">
        <v>187</v>
      </c>
      <c r="H23" s="33"/>
      <c r="I23" s="33" t="s">
        <v>200</v>
      </c>
      <c r="J23" s="35"/>
      <c r="K23" s="35"/>
      <c r="L23" s="36"/>
      <c r="M23" s="31"/>
      <c r="N23" s="29"/>
      <c r="O23" s="6"/>
    </row>
    <row r="24" spans="1:15" ht="15.75">
      <c r="A24" s="28"/>
      <c r="B24" s="32" t="s">
        <v>14</v>
      </c>
      <c r="C24" s="32"/>
      <c r="D24" s="35" t="s">
        <v>169</v>
      </c>
      <c r="E24" s="35"/>
      <c r="F24" s="35"/>
      <c r="G24" s="35" t="s">
        <v>186</v>
      </c>
      <c r="H24" s="35"/>
      <c r="I24" s="35" t="s">
        <v>199</v>
      </c>
      <c r="J24" s="35"/>
      <c r="K24" s="35"/>
      <c r="L24" s="36"/>
      <c r="M24" s="31"/>
      <c r="N24" s="29"/>
      <c r="O24" s="6"/>
    </row>
    <row r="25" spans="1:15" ht="15.75">
      <c r="A25" s="28"/>
      <c r="B25" s="32" t="s">
        <v>15</v>
      </c>
      <c r="C25" s="32"/>
      <c r="D25" s="35" t="s">
        <v>170</v>
      </c>
      <c r="E25" s="35"/>
      <c r="F25" s="35"/>
      <c r="G25" s="35" t="s">
        <v>187</v>
      </c>
      <c r="H25" s="35"/>
      <c r="I25" s="35" t="s">
        <v>200</v>
      </c>
      <c r="J25" s="35"/>
      <c r="K25" s="35"/>
      <c r="L25" s="36"/>
      <c r="M25" s="31"/>
      <c r="N25" s="29"/>
      <c r="O25" s="6"/>
    </row>
    <row r="26" spans="1:15" ht="15.75">
      <c r="A26" s="28"/>
      <c r="B26" s="29" t="s">
        <v>16</v>
      </c>
      <c r="C26" s="29"/>
      <c r="D26" s="37" t="s">
        <v>171</v>
      </c>
      <c r="E26" s="37"/>
      <c r="F26" s="30"/>
      <c r="G26" s="37" t="s">
        <v>188</v>
      </c>
      <c r="H26" s="30"/>
      <c r="I26" s="37" t="s">
        <v>201</v>
      </c>
      <c r="J26" s="30"/>
      <c r="K26" s="37"/>
      <c r="L26" s="31"/>
      <c r="M26" s="31"/>
      <c r="N26" s="29"/>
      <c r="O26" s="6"/>
    </row>
    <row r="27" spans="1:15" ht="15.75">
      <c r="A27" s="28"/>
      <c r="B27" s="29"/>
      <c r="C27" s="29"/>
      <c r="D27" s="29"/>
      <c r="E27" s="29"/>
      <c r="F27" s="30"/>
      <c r="G27" s="30"/>
      <c r="H27" s="30"/>
      <c r="I27" s="30"/>
      <c r="J27" s="30"/>
      <c r="K27" s="30"/>
      <c r="L27" s="31"/>
      <c r="M27" s="31"/>
      <c r="N27" s="29"/>
      <c r="O27" s="6"/>
    </row>
    <row r="28" spans="1:15" ht="15.75">
      <c r="A28" s="28"/>
      <c r="B28" s="29" t="s">
        <v>17</v>
      </c>
      <c r="C28" s="29"/>
      <c r="D28" s="38" t="s">
        <v>172</v>
      </c>
      <c r="E28" s="38">
        <v>168668</v>
      </c>
      <c r="F28" s="39"/>
      <c r="G28" s="38">
        <v>16580</v>
      </c>
      <c r="H28" s="38"/>
      <c r="I28" s="38">
        <v>9750</v>
      </c>
      <c r="J28" s="38"/>
      <c r="K28" s="38"/>
      <c r="L28" s="39" t="s">
        <v>172</v>
      </c>
      <c r="M28" s="38">
        <f>K28+I28+G28+E28</f>
        <v>194998</v>
      </c>
      <c r="N28" s="40"/>
      <c r="O28" s="6"/>
    </row>
    <row r="29" spans="1:15" ht="15.75">
      <c r="A29" s="28"/>
      <c r="B29" s="29" t="s">
        <v>18</v>
      </c>
      <c r="C29" s="41">
        <f>M28/M29</f>
        <v>1</v>
      </c>
      <c r="D29" s="38" t="s">
        <v>173</v>
      </c>
      <c r="E29" s="38">
        <v>168668</v>
      </c>
      <c r="F29" s="39"/>
      <c r="G29" s="38">
        <v>16580</v>
      </c>
      <c r="H29" s="38"/>
      <c r="I29" s="38">
        <v>9750</v>
      </c>
      <c r="J29" s="42"/>
      <c r="K29" s="38"/>
      <c r="L29" s="39" t="s">
        <v>172</v>
      </c>
      <c r="M29" s="38">
        <f>K29+I29+G29+E29</f>
        <v>194998</v>
      </c>
      <c r="N29" s="40"/>
      <c r="O29" s="6"/>
    </row>
    <row r="30" spans="1:15" ht="15.75">
      <c r="A30" s="43"/>
      <c r="B30" s="32" t="s">
        <v>19</v>
      </c>
      <c r="C30" s="44">
        <f>M29/M30</f>
        <v>1</v>
      </c>
      <c r="D30" s="45" t="s">
        <v>172</v>
      </c>
      <c r="E30" s="45">
        <v>168668</v>
      </c>
      <c r="F30" s="46"/>
      <c r="G30" s="45">
        <v>16580</v>
      </c>
      <c r="H30" s="45"/>
      <c r="I30" s="45">
        <v>9750</v>
      </c>
      <c r="J30" s="45"/>
      <c r="K30" s="45"/>
      <c r="L30" s="46" t="s">
        <v>172</v>
      </c>
      <c r="M30" s="45">
        <f>K30+I30+G30+E30</f>
        <v>194998</v>
      </c>
      <c r="N30" s="29"/>
      <c r="O30" s="6"/>
    </row>
    <row r="31" spans="1:15" ht="15.75">
      <c r="A31" s="28"/>
      <c r="B31" s="29" t="s">
        <v>20</v>
      </c>
      <c r="C31" s="140"/>
      <c r="D31" s="37" t="s">
        <v>174</v>
      </c>
      <c r="E31" s="37"/>
      <c r="F31" s="29"/>
      <c r="G31" s="37" t="s">
        <v>189</v>
      </c>
      <c r="H31" s="37"/>
      <c r="I31" s="37" t="s">
        <v>202</v>
      </c>
      <c r="J31" s="37"/>
      <c r="K31" s="37"/>
      <c r="L31" s="31"/>
      <c r="M31" s="31"/>
      <c r="N31" s="29"/>
      <c r="O31" s="6"/>
    </row>
    <row r="32" spans="1:15" ht="15.75">
      <c r="A32" s="28"/>
      <c r="B32" s="29" t="s">
        <v>21</v>
      </c>
      <c r="C32" s="140"/>
      <c r="D32" s="48" t="s">
        <v>175</v>
      </c>
      <c r="E32" s="49">
        <v>0.03875</v>
      </c>
      <c r="F32" s="50"/>
      <c r="G32" s="48">
        <v>0.043</v>
      </c>
      <c r="H32" s="48"/>
      <c r="I32" s="48">
        <v>0.053</v>
      </c>
      <c r="J32" s="51"/>
      <c r="K32" s="48"/>
      <c r="L32" s="31"/>
      <c r="M32" s="51">
        <f>SUMPRODUCT(E32:K32,E30:K30)/M30</f>
        <v>0.039823869988410136</v>
      </c>
      <c r="N32" s="29"/>
      <c r="O32" s="6"/>
    </row>
    <row r="33" spans="1:15" ht="15.75">
      <c r="A33" s="28"/>
      <c r="B33" s="29" t="s">
        <v>22</v>
      </c>
      <c r="C33" s="140"/>
      <c r="D33" s="48">
        <v>0.02475</v>
      </c>
      <c r="E33" s="48"/>
      <c r="F33" s="50"/>
      <c r="G33" s="48" t="s">
        <v>175</v>
      </c>
      <c r="H33" s="48"/>
      <c r="I33" s="48" t="s">
        <v>175</v>
      </c>
      <c r="J33" s="51"/>
      <c r="K33" s="48"/>
      <c r="L33" s="31"/>
      <c r="M33" s="51"/>
      <c r="N33" s="29"/>
      <c r="O33" s="6"/>
    </row>
    <row r="34" spans="1:15" ht="15.75">
      <c r="A34" s="28"/>
      <c r="B34" s="29" t="s">
        <v>23</v>
      </c>
      <c r="C34" s="140"/>
      <c r="D34" s="48" t="s">
        <v>175</v>
      </c>
      <c r="E34" s="48"/>
      <c r="F34" s="48"/>
      <c r="G34" s="48">
        <v>0.0446875</v>
      </c>
      <c r="H34" s="48"/>
      <c r="I34" s="48">
        <v>0.0546875</v>
      </c>
      <c r="J34" s="51"/>
      <c r="K34" s="48"/>
      <c r="L34" s="31"/>
      <c r="M34" s="31"/>
      <c r="N34" s="29"/>
      <c r="O34" s="6"/>
    </row>
    <row r="35" spans="1:15" ht="15.75">
      <c r="A35" s="28"/>
      <c r="B35" s="29" t="s">
        <v>24</v>
      </c>
      <c r="C35" s="140"/>
      <c r="D35" s="48">
        <v>0.02804</v>
      </c>
      <c r="E35" s="48"/>
      <c r="F35" s="50"/>
      <c r="G35" s="48" t="s">
        <v>175</v>
      </c>
      <c r="H35" s="48"/>
      <c r="I35" s="48" t="s">
        <v>175</v>
      </c>
      <c r="J35" s="51"/>
      <c r="K35" s="48"/>
      <c r="L35" s="31"/>
      <c r="M35" s="31"/>
      <c r="N35" s="29"/>
      <c r="O35" s="6"/>
    </row>
    <row r="36" spans="1:15" ht="15.75">
      <c r="A36" s="28"/>
      <c r="B36" s="29" t="s">
        <v>25</v>
      </c>
      <c r="C36" s="140"/>
      <c r="D36" s="37" t="s">
        <v>176</v>
      </c>
      <c r="E36" s="37"/>
      <c r="F36" s="29"/>
      <c r="G36" s="37" t="s">
        <v>176</v>
      </c>
      <c r="H36" s="37"/>
      <c r="I36" s="37" t="s">
        <v>176</v>
      </c>
      <c r="J36" s="37"/>
      <c r="K36" s="37"/>
      <c r="L36" s="31"/>
      <c r="M36" s="31"/>
      <c r="N36" s="29"/>
      <c r="O36" s="6"/>
    </row>
    <row r="37" spans="1:15" ht="15.75">
      <c r="A37" s="28"/>
      <c r="B37" s="29" t="s">
        <v>26</v>
      </c>
      <c r="C37" s="29"/>
      <c r="D37" s="52">
        <v>39036</v>
      </c>
      <c r="E37" s="52"/>
      <c r="F37" s="29"/>
      <c r="G37" s="52">
        <v>39036</v>
      </c>
      <c r="H37" s="52"/>
      <c r="I37" s="52">
        <v>39036</v>
      </c>
      <c r="J37" s="37"/>
      <c r="K37" s="37"/>
      <c r="L37" s="31"/>
      <c r="M37" s="31"/>
      <c r="N37" s="29"/>
      <c r="O37" s="6"/>
    </row>
    <row r="38" spans="1:15" ht="15.75">
      <c r="A38" s="28"/>
      <c r="B38" s="29" t="s">
        <v>27</v>
      </c>
      <c r="C38" s="29"/>
      <c r="D38" s="37" t="s">
        <v>177</v>
      </c>
      <c r="E38" s="37"/>
      <c r="F38" s="29"/>
      <c r="G38" s="37" t="s">
        <v>190</v>
      </c>
      <c r="H38" s="37"/>
      <c r="I38" s="37" t="s">
        <v>203</v>
      </c>
      <c r="J38" s="37"/>
      <c r="K38" s="37"/>
      <c r="L38" s="31"/>
      <c r="M38" s="31"/>
      <c r="N38" s="29"/>
      <c r="O38" s="6"/>
    </row>
    <row r="39" spans="1:15" ht="15.75">
      <c r="A39" s="28"/>
      <c r="B39" s="29"/>
      <c r="C39" s="29"/>
      <c r="D39" s="29"/>
      <c r="E39" s="53"/>
      <c r="F39" s="53"/>
      <c r="G39" s="29"/>
      <c r="H39" s="53"/>
      <c r="I39" s="53"/>
      <c r="J39" s="53"/>
      <c r="K39" s="53"/>
      <c r="L39" s="53"/>
      <c r="M39" s="53"/>
      <c r="N39" s="29"/>
      <c r="O39" s="6"/>
    </row>
    <row r="40" spans="1:15" ht="15.75">
      <c r="A40" s="28"/>
      <c r="B40" s="29" t="s">
        <v>28</v>
      </c>
      <c r="C40" s="29"/>
      <c r="D40" s="29"/>
      <c r="E40" s="29"/>
      <c r="F40" s="29"/>
      <c r="G40" s="50"/>
      <c r="H40" s="29"/>
      <c r="I40" s="50"/>
      <c r="J40" s="29"/>
      <c r="K40" s="29"/>
      <c r="L40" s="29"/>
      <c r="M40" s="51">
        <f>(I28+G28)/(E28)</f>
        <v>0.15610548533213175</v>
      </c>
      <c r="N40" s="29"/>
      <c r="O40" s="6"/>
    </row>
    <row r="41" spans="1:15" ht="15.75">
      <c r="A41" s="28"/>
      <c r="B41" s="29" t="s">
        <v>29</v>
      </c>
      <c r="C41" s="29"/>
      <c r="D41" s="29"/>
      <c r="E41" s="29"/>
      <c r="F41" s="29"/>
      <c r="G41" s="50"/>
      <c r="H41" s="29"/>
      <c r="I41" s="50"/>
      <c r="J41" s="29"/>
      <c r="K41" s="29"/>
      <c r="L41" s="29"/>
      <c r="M41" s="51">
        <f>(I30+G30)/(E30)</f>
        <v>0.15610548533213175</v>
      </c>
      <c r="N41" s="29"/>
      <c r="O41" s="6"/>
    </row>
    <row r="42" spans="1:15" ht="15.75">
      <c r="A42" s="28"/>
      <c r="B42" s="29" t="s">
        <v>30</v>
      </c>
      <c r="C42" s="29"/>
      <c r="D42" s="29"/>
      <c r="E42" s="29"/>
      <c r="F42" s="29"/>
      <c r="G42" s="29"/>
      <c r="H42" s="29"/>
      <c r="I42" s="29"/>
      <c r="J42" s="29"/>
      <c r="K42" s="37" t="s">
        <v>168</v>
      </c>
      <c r="L42" s="37" t="s">
        <v>216</v>
      </c>
      <c r="M42" s="38">
        <v>60336</v>
      </c>
      <c r="N42" s="29"/>
      <c r="O42" s="6"/>
    </row>
    <row r="43" spans="1:15" ht="15.75">
      <c r="A43" s="28"/>
      <c r="B43" s="29"/>
      <c r="C43" s="29"/>
      <c r="D43" s="29"/>
      <c r="E43" s="29"/>
      <c r="F43" s="29"/>
      <c r="G43" s="29"/>
      <c r="H43" s="29"/>
      <c r="I43" s="29"/>
      <c r="J43" s="29"/>
      <c r="K43" s="29"/>
      <c r="L43" s="29"/>
      <c r="M43" s="54"/>
      <c r="N43" s="29"/>
      <c r="O43" s="6"/>
    </row>
    <row r="44" spans="1:15" ht="15.75">
      <c r="A44" s="28"/>
      <c r="B44" s="29" t="s">
        <v>31</v>
      </c>
      <c r="C44" s="29"/>
      <c r="D44" s="29"/>
      <c r="E44" s="29"/>
      <c r="F44" s="29"/>
      <c r="G44" s="29"/>
      <c r="H44" s="29"/>
      <c r="I44" s="29"/>
      <c r="J44" s="29"/>
      <c r="K44" s="37"/>
      <c r="L44" s="37"/>
      <c r="M44" s="37" t="s">
        <v>219</v>
      </c>
      <c r="N44" s="29"/>
      <c r="O44" s="6"/>
    </row>
    <row r="45" spans="1:15" ht="15.75">
      <c r="A45" s="43"/>
      <c r="B45" s="32" t="s">
        <v>32</v>
      </c>
      <c r="C45" s="32"/>
      <c r="D45" s="32"/>
      <c r="E45" s="32"/>
      <c r="F45" s="32"/>
      <c r="G45" s="32"/>
      <c r="H45" s="32"/>
      <c r="I45" s="32"/>
      <c r="J45" s="32"/>
      <c r="K45" s="55"/>
      <c r="L45" s="55"/>
      <c r="M45" s="56">
        <v>37942</v>
      </c>
      <c r="N45" s="32"/>
      <c r="O45" s="6"/>
    </row>
    <row r="46" spans="1:15" ht="15.75">
      <c r="A46" s="28"/>
      <c r="B46" s="29" t="s">
        <v>33</v>
      </c>
      <c r="C46" s="29"/>
      <c r="D46" s="29"/>
      <c r="E46" s="29"/>
      <c r="F46" s="29"/>
      <c r="G46" s="29"/>
      <c r="H46" s="29"/>
      <c r="I46" s="31"/>
      <c r="J46" s="29">
        <f>M46-K46+1</f>
        <v>92</v>
      </c>
      <c r="K46" s="58">
        <v>37756</v>
      </c>
      <c r="L46" s="59"/>
      <c r="M46" s="58">
        <v>37847</v>
      </c>
      <c r="N46" s="29"/>
      <c r="O46" s="6"/>
    </row>
    <row r="47" spans="1:15" ht="15.75">
      <c r="A47" s="28"/>
      <c r="B47" s="29" t="s">
        <v>34</v>
      </c>
      <c r="C47" s="29"/>
      <c r="D47" s="29"/>
      <c r="E47" s="29"/>
      <c r="F47" s="29"/>
      <c r="G47" s="29"/>
      <c r="H47" s="29"/>
      <c r="I47" s="31"/>
      <c r="J47" s="29">
        <f>M47-K47+1</f>
        <v>94</v>
      </c>
      <c r="K47" s="58">
        <v>37848</v>
      </c>
      <c r="L47" s="59"/>
      <c r="M47" s="58">
        <v>37941</v>
      </c>
      <c r="N47" s="29"/>
      <c r="O47" s="6"/>
    </row>
    <row r="48" spans="1:15" ht="15.75">
      <c r="A48" s="28"/>
      <c r="B48" s="29" t="s">
        <v>35</v>
      </c>
      <c r="C48" s="29"/>
      <c r="D48" s="29"/>
      <c r="E48" s="29"/>
      <c r="F48" s="29"/>
      <c r="G48" s="29"/>
      <c r="H48" s="29"/>
      <c r="I48" s="29"/>
      <c r="J48" s="29"/>
      <c r="K48" s="58"/>
      <c r="L48" s="59"/>
      <c r="M48" s="58" t="s">
        <v>220</v>
      </c>
      <c r="N48" s="29"/>
      <c r="O48" s="6"/>
    </row>
    <row r="49" spans="1:15" ht="15.75">
      <c r="A49" s="28"/>
      <c r="B49" s="29" t="s">
        <v>36</v>
      </c>
      <c r="C49" s="29"/>
      <c r="D49" s="29"/>
      <c r="E49" s="29"/>
      <c r="F49" s="29"/>
      <c r="G49" s="29"/>
      <c r="H49" s="29"/>
      <c r="I49" s="29"/>
      <c r="J49" s="29"/>
      <c r="K49" s="58"/>
      <c r="L49" s="59"/>
      <c r="M49" s="58" t="s">
        <v>221</v>
      </c>
      <c r="N49" s="29"/>
      <c r="O49" s="6"/>
    </row>
    <row r="50" spans="1:15" ht="15.75">
      <c r="A50" s="28"/>
      <c r="B50" s="29" t="s">
        <v>37</v>
      </c>
      <c r="C50" s="29"/>
      <c r="D50" s="29"/>
      <c r="E50" s="29"/>
      <c r="F50" s="29"/>
      <c r="G50" s="29"/>
      <c r="H50" s="29"/>
      <c r="I50" s="29"/>
      <c r="J50" s="29"/>
      <c r="K50" s="58"/>
      <c r="L50" s="59"/>
      <c r="M50" s="58">
        <v>37928</v>
      </c>
      <c r="N50" s="29"/>
      <c r="O50" s="6"/>
    </row>
    <row r="51" spans="1:15" ht="15.75">
      <c r="A51" s="28"/>
      <c r="B51" s="29"/>
      <c r="C51" s="29"/>
      <c r="D51" s="29"/>
      <c r="E51" s="29"/>
      <c r="F51" s="29"/>
      <c r="G51" s="29"/>
      <c r="H51" s="29"/>
      <c r="I51" s="29"/>
      <c r="J51" s="29"/>
      <c r="K51" s="29"/>
      <c r="L51" s="29"/>
      <c r="M51" s="60"/>
      <c r="N51" s="29"/>
      <c r="O51" s="6"/>
    </row>
    <row r="52" spans="1:15" ht="15.75">
      <c r="A52" s="7"/>
      <c r="B52" s="9"/>
      <c r="C52" s="9"/>
      <c r="D52" s="9"/>
      <c r="E52" s="9"/>
      <c r="F52" s="9"/>
      <c r="G52" s="9"/>
      <c r="H52" s="9"/>
      <c r="I52" s="9"/>
      <c r="J52" s="9"/>
      <c r="K52" s="9"/>
      <c r="L52" s="9"/>
      <c r="M52" s="61"/>
      <c r="N52" s="9"/>
      <c r="O52" s="6"/>
    </row>
    <row r="53" spans="1:15" ht="16.5" thickBot="1">
      <c r="A53" s="134"/>
      <c r="B53" s="135" t="s">
        <v>244</v>
      </c>
      <c r="C53" s="136"/>
      <c r="D53" s="136"/>
      <c r="E53" s="136"/>
      <c r="F53" s="136"/>
      <c r="G53" s="136"/>
      <c r="H53" s="136"/>
      <c r="I53" s="136"/>
      <c r="J53" s="136"/>
      <c r="K53" s="136"/>
      <c r="L53" s="136"/>
      <c r="M53" s="137"/>
      <c r="N53" s="138"/>
      <c r="O53" s="6"/>
    </row>
    <row r="54" spans="1:15" ht="15.75">
      <c r="A54" s="2"/>
      <c r="B54" s="5"/>
      <c r="C54" s="5"/>
      <c r="D54" s="5"/>
      <c r="E54" s="5"/>
      <c r="F54" s="5"/>
      <c r="G54" s="5"/>
      <c r="H54" s="5"/>
      <c r="I54" s="5"/>
      <c r="J54" s="5"/>
      <c r="K54" s="5"/>
      <c r="L54" s="5"/>
      <c r="M54" s="62"/>
      <c r="N54" s="5"/>
      <c r="O54" s="6"/>
    </row>
    <row r="55" spans="1:15" ht="15" customHeight="1">
      <c r="A55" s="7"/>
      <c r="B55" s="63" t="s">
        <v>39</v>
      </c>
      <c r="C55" s="15"/>
      <c r="D55" s="15"/>
      <c r="E55" s="9"/>
      <c r="F55" s="9"/>
      <c r="G55" s="9"/>
      <c r="H55" s="9"/>
      <c r="I55" s="9"/>
      <c r="J55" s="9"/>
      <c r="K55" s="9"/>
      <c r="L55" s="9"/>
      <c r="M55" s="64"/>
      <c r="N55" s="9"/>
      <c r="O55" s="6"/>
    </row>
    <row r="56" spans="1:15" ht="15.75">
      <c r="A56" s="7"/>
      <c r="B56" s="15"/>
      <c r="C56" s="15"/>
      <c r="D56" s="15"/>
      <c r="E56" s="9"/>
      <c r="F56" s="9"/>
      <c r="G56" s="9"/>
      <c r="H56" s="9"/>
      <c r="I56" s="9"/>
      <c r="J56" s="9"/>
      <c r="K56" s="9"/>
      <c r="L56" s="9"/>
      <c r="M56" s="64"/>
      <c r="N56" s="9"/>
      <c r="O56" s="6"/>
    </row>
    <row r="57" spans="1:15" s="156" customFormat="1" ht="47.25">
      <c r="A57" s="150"/>
      <c r="B57" s="151" t="s">
        <v>40</v>
      </c>
      <c r="C57" s="152" t="s">
        <v>167</v>
      </c>
      <c r="D57" s="152"/>
      <c r="E57" s="152" t="s">
        <v>180</v>
      </c>
      <c r="F57" s="152"/>
      <c r="G57" s="152" t="s">
        <v>191</v>
      </c>
      <c r="H57" s="152"/>
      <c r="I57" s="152" t="s">
        <v>204</v>
      </c>
      <c r="J57" s="152"/>
      <c r="K57" s="152" t="s">
        <v>209</v>
      </c>
      <c r="L57" s="152"/>
      <c r="M57" s="153" t="s">
        <v>222</v>
      </c>
      <c r="N57" s="154"/>
      <c r="O57" s="155"/>
    </row>
    <row r="58" spans="1:15" ht="15.75">
      <c r="A58" s="28"/>
      <c r="B58" s="29" t="s">
        <v>41</v>
      </c>
      <c r="C58" s="65">
        <v>73021</v>
      </c>
      <c r="D58" s="65"/>
      <c r="E58" s="65">
        <v>83614</v>
      </c>
      <c r="F58" s="65"/>
      <c r="G58" s="65">
        <f>15789+101+32</f>
        <v>15922</v>
      </c>
      <c r="H58" s="65"/>
      <c r="I58" s="65">
        <f>11506+25527</f>
        <v>37033</v>
      </c>
      <c r="J58" s="65"/>
      <c r="K58" s="65">
        <v>0</v>
      </c>
      <c r="L58" s="65"/>
      <c r="M58" s="66">
        <f>E58-G58+I58-K58</f>
        <v>104725</v>
      </c>
      <c r="N58" s="29"/>
      <c r="O58" s="6"/>
    </row>
    <row r="59" spans="1:15" ht="15.75">
      <c r="A59" s="28"/>
      <c r="B59" s="29" t="s">
        <v>42</v>
      </c>
      <c r="C59" s="65">
        <v>506</v>
      </c>
      <c r="D59" s="65"/>
      <c r="E59" s="65">
        <v>0</v>
      </c>
      <c r="F59" s="65"/>
      <c r="G59" s="65">
        <f>61+45</f>
        <v>106</v>
      </c>
      <c r="H59" s="65"/>
      <c r="I59" s="65">
        <v>106</v>
      </c>
      <c r="J59" s="65"/>
      <c r="K59" s="65">
        <v>0</v>
      </c>
      <c r="L59" s="65"/>
      <c r="M59" s="66">
        <f>E59-G59+I59-K59</f>
        <v>0</v>
      </c>
      <c r="N59" s="29"/>
      <c r="O59" s="6"/>
    </row>
    <row r="60" spans="1:15" ht="15.75">
      <c r="A60" s="28"/>
      <c r="B60" s="29"/>
      <c r="C60" s="65"/>
      <c r="D60" s="65"/>
      <c r="E60" s="65"/>
      <c r="F60" s="65"/>
      <c r="G60" s="65"/>
      <c r="H60" s="65"/>
      <c r="I60" s="65"/>
      <c r="J60" s="65"/>
      <c r="K60" s="65"/>
      <c r="L60" s="65"/>
      <c r="M60" s="66"/>
      <c r="N60" s="29"/>
      <c r="O60" s="6"/>
    </row>
    <row r="61" spans="1:15" ht="15.75">
      <c r="A61" s="28"/>
      <c r="B61" s="29" t="s">
        <v>43</v>
      </c>
      <c r="C61" s="65">
        <f>SUM(C58:C60)</f>
        <v>73527</v>
      </c>
      <c r="D61" s="65"/>
      <c r="E61" s="65">
        <f>SUM(E58:E60)</f>
        <v>83614</v>
      </c>
      <c r="F61" s="65"/>
      <c r="G61" s="65">
        <f>SUM(G58:G60)</f>
        <v>16028</v>
      </c>
      <c r="H61" s="65"/>
      <c r="I61" s="65">
        <f>SUM(I58:I60)</f>
        <v>37139</v>
      </c>
      <c r="J61" s="65"/>
      <c r="K61" s="65">
        <f>SUM(K58:K60)</f>
        <v>0</v>
      </c>
      <c r="L61" s="65"/>
      <c r="M61" s="67">
        <f>SUM(M58:M60)</f>
        <v>104725</v>
      </c>
      <c r="N61" s="29"/>
      <c r="O61" s="6"/>
    </row>
    <row r="62" spans="1:15" ht="15.75">
      <c r="A62" s="28"/>
      <c r="B62" s="29"/>
      <c r="C62" s="65"/>
      <c r="D62" s="65"/>
      <c r="E62" s="65"/>
      <c r="F62" s="65"/>
      <c r="G62" s="65"/>
      <c r="H62" s="65"/>
      <c r="I62" s="65"/>
      <c r="J62" s="65"/>
      <c r="K62" s="65"/>
      <c r="L62" s="65"/>
      <c r="M62" s="67"/>
      <c r="N62" s="29"/>
      <c r="O62" s="6"/>
    </row>
    <row r="63" spans="1:15" ht="15.75">
      <c r="A63" s="7"/>
      <c r="B63" s="144" t="s">
        <v>44</v>
      </c>
      <c r="C63" s="68"/>
      <c r="D63" s="68"/>
      <c r="E63" s="68"/>
      <c r="F63" s="68"/>
      <c r="G63" s="69"/>
      <c r="H63" s="68"/>
      <c r="I63" s="68"/>
      <c r="J63" s="68"/>
      <c r="K63" s="68"/>
      <c r="L63" s="68"/>
      <c r="M63" s="70"/>
      <c r="N63" s="9"/>
      <c r="O63" s="6"/>
    </row>
    <row r="64" spans="1:15" ht="15.75">
      <c r="A64" s="7"/>
      <c r="B64" s="9"/>
      <c r="C64" s="68"/>
      <c r="D64" s="68"/>
      <c r="E64" s="68"/>
      <c r="F64" s="68"/>
      <c r="G64" s="68"/>
      <c r="H64" s="68"/>
      <c r="I64" s="68"/>
      <c r="J64" s="68"/>
      <c r="K64" s="68"/>
      <c r="L64" s="68"/>
      <c r="M64" s="70"/>
      <c r="N64" s="9"/>
      <c r="O64" s="6"/>
    </row>
    <row r="65" spans="1:15" ht="15.75">
      <c r="A65" s="28"/>
      <c r="B65" s="29" t="s">
        <v>41</v>
      </c>
      <c r="C65" s="65">
        <v>79997</v>
      </c>
      <c r="D65" s="65"/>
      <c r="E65" s="66">
        <v>85286</v>
      </c>
      <c r="F65" s="65"/>
      <c r="G65" s="65">
        <f>15343+753</f>
        <v>16096</v>
      </c>
      <c r="H65" s="65"/>
      <c r="I65" s="65">
        <f>10011+684</f>
        <v>10695</v>
      </c>
      <c r="J65" s="65"/>
      <c r="K65" s="65"/>
      <c r="L65" s="65"/>
      <c r="M65" s="66">
        <f>E65-G65+I65-K65</f>
        <v>79885</v>
      </c>
      <c r="N65" s="29"/>
      <c r="O65" s="6"/>
    </row>
    <row r="66" spans="1:15" ht="15.75">
      <c r="A66" s="28"/>
      <c r="B66" s="29" t="s">
        <v>42</v>
      </c>
      <c r="C66" s="65">
        <v>611</v>
      </c>
      <c r="D66" s="65"/>
      <c r="E66" s="66">
        <v>0</v>
      </c>
      <c r="F66" s="65"/>
      <c r="G66" s="65">
        <v>46</v>
      </c>
      <c r="H66" s="65"/>
      <c r="I66" s="65">
        <v>46</v>
      </c>
      <c r="J66" s="65"/>
      <c r="K66" s="65"/>
      <c r="L66" s="65"/>
      <c r="M66" s="66">
        <f>E66-G66+I66-K66</f>
        <v>0</v>
      </c>
      <c r="N66" s="29"/>
      <c r="O66" s="6"/>
    </row>
    <row r="67" spans="1:15" ht="15.75">
      <c r="A67" s="28"/>
      <c r="B67" s="65"/>
      <c r="C67" s="65"/>
      <c r="D67" s="65"/>
      <c r="E67" s="66"/>
      <c r="F67" s="65"/>
      <c r="G67" s="65"/>
      <c r="H67" s="65"/>
      <c r="I67" s="65"/>
      <c r="J67" s="65"/>
      <c r="K67" s="65"/>
      <c r="L67" s="65"/>
      <c r="M67" s="66"/>
      <c r="N67" s="29"/>
      <c r="O67" s="6"/>
    </row>
    <row r="68" spans="1:15" ht="15.75">
      <c r="A68" s="28"/>
      <c r="B68" s="29" t="s">
        <v>43</v>
      </c>
      <c r="C68" s="65">
        <f>SUM(C65:C67)</f>
        <v>80608</v>
      </c>
      <c r="D68" s="65"/>
      <c r="E68" s="65">
        <f>E65</f>
        <v>85286</v>
      </c>
      <c r="F68" s="65"/>
      <c r="G68" s="65">
        <f>SUM(G65:G67)</f>
        <v>16142</v>
      </c>
      <c r="H68" s="65"/>
      <c r="I68" s="65">
        <f>SUM(I65:I67)</f>
        <v>10741</v>
      </c>
      <c r="J68" s="65"/>
      <c r="K68" s="65">
        <f>SUM(K65:K67)</f>
        <v>0</v>
      </c>
      <c r="L68" s="65"/>
      <c r="M68" s="65">
        <f>SUM(M65:M67)</f>
        <v>79885</v>
      </c>
      <c r="N68" s="29"/>
      <c r="O68" s="6"/>
    </row>
    <row r="69" spans="1:15" ht="15.75">
      <c r="A69" s="28"/>
      <c r="B69" s="29"/>
      <c r="C69" s="65"/>
      <c r="D69" s="65"/>
      <c r="E69" s="67"/>
      <c r="F69" s="65"/>
      <c r="G69" s="65"/>
      <c r="H69" s="65"/>
      <c r="I69" s="65"/>
      <c r="J69" s="65"/>
      <c r="K69" s="65"/>
      <c r="L69" s="65"/>
      <c r="M69" s="67"/>
      <c r="N69" s="29"/>
      <c r="O69" s="6"/>
    </row>
    <row r="70" spans="1:15" ht="15.75">
      <c r="A70" s="28"/>
      <c r="B70" s="29" t="s">
        <v>45</v>
      </c>
      <c r="C70" s="65">
        <v>0</v>
      </c>
      <c r="D70" s="65"/>
      <c r="E70" s="65">
        <v>0</v>
      </c>
      <c r="F70" s="65"/>
      <c r="G70" s="65"/>
      <c r="H70" s="65"/>
      <c r="I70" s="65"/>
      <c r="J70" s="65"/>
      <c r="K70" s="65"/>
      <c r="L70" s="65"/>
      <c r="M70" s="65">
        <f>E70+G70</f>
        <v>0</v>
      </c>
      <c r="N70" s="29"/>
      <c r="O70" s="6"/>
    </row>
    <row r="71" spans="1:16" ht="15.75">
      <c r="A71" s="28"/>
      <c r="B71" s="29" t="s">
        <v>46</v>
      </c>
      <c r="C71" s="65">
        <v>0</v>
      </c>
      <c r="D71" s="65"/>
      <c r="E71" s="67">
        <v>2926</v>
      </c>
      <c r="F71" s="65"/>
      <c r="G71" s="65"/>
      <c r="H71" s="65"/>
      <c r="I71" s="65">
        <v>0</v>
      </c>
      <c r="J71" s="65"/>
      <c r="K71" s="65"/>
      <c r="L71" s="65"/>
      <c r="M71" s="67">
        <f>E71+I71</f>
        <v>2926</v>
      </c>
      <c r="N71" s="29"/>
      <c r="O71" s="6"/>
      <c r="P71" s="143"/>
    </row>
    <row r="72" spans="1:18" ht="15.75">
      <c r="A72" s="28"/>
      <c r="B72" s="29" t="s">
        <v>47</v>
      </c>
      <c r="C72" s="65">
        <v>40958</v>
      </c>
      <c r="D72" s="65"/>
      <c r="E72" s="67">
        <v>19425</v>
      </c>
      <c r="F72" s="65"/>
      <c r="G72" s="65">
        <f>G68+G61</f>
        <v>32170</v>
      </c>
      <c r="H72" s="65"/>
      <c r="I72" s="65">
        <f>-I68-I61</f>
        <v>-47880</v>
      </c>
      <c r="J72" s="65"/>
      <c r="K72" s="65"/>
      <c r="L72" s="65"/>
      <c r="M72" s="67">
        <f>E72+G88+I72</f>
        <v>2861</v>
      </c>
      <c r="N72" s="29"/>
      <c r="O72" s="6"/>
      <c r="P72" s="131"/>
      <c r="R72" s="132"/>
    </row>
    <row r="73" spans="1:16" ht="15.75">
      <c r="A73" s="28"/>
      <c r="B73" s="29" t="s">
        <v>48</v>
      </c>
      <c r="C73" s="65">
        <v>0</v>
      </c>
      <c r="D73" s="65"/>
      <c r="E73" s="67">
        <v>6768</v>
      </c>
      <c r="F73" s="65"/>
      <c r="G73" s="65"/>
      <c r="H73" s="65"/>
      <c r="I73" s="65">
        <v>-854</v>
      </c>
      <c r="J73" s="65"/>
      <c r="K73" s="65"/>
      <c r="L73" s="65"/>
      <c r="M73" s="67">
        <f>-I73+E73</f>
        <v>7622</v>
      </c>
      <c r="N73" s="29"/>
      <c r="O73" s="6"/>
      <c r="P73" s="132"/>
    </row>
    <row r="74" spans="1:20" ht="15.75">
      <c r="A74" s="28"/>
      <c r="B74" s="29" t="s">
        <v>49</v>
      </c>
      <c r="C74" s="65">
        <v>-95</v>
      </c>
      <c r="D74" s="65"/>
      <c r="E74" s="67">
        <v>-95</v>
      </c>
      <c r="F74" s="65"/>
      <c r="G74" s="65">
        <v>0</v>
      </c>
      <c r="H74" s="65"/>
      <c r="I74" s="65"/>
      <c r="J74" s="65"/>
      <c r="K74" s="65"/>
      <c r="L74" s="65"/>
      <c r="M74" s="67">
        <f>E74+G74</f>
        <v>-95</v>
      </c>
      <c r="N74" s="29"/>
      <c r="O74" s="6"/>
      <c r="P74" s="131"/>
      <c r="R74" s="131"/>
      <c r="T74" s="131"/>
    </row>
    <row r="75" spans="1:16" ht="15.75">
      <c r="A75" s="28"/>
      <c r="B75" s="29" t="s">
        <v>50</v>
      </c>
      <c r="C75" s="65">
        <v>0</v>
      </c>
      <c r="D75" s="65"/>
      <c r="E75" s="67">
        <v>0</v>
      </c>
      <c r="F75" s="65"/>
      <c r="G75" s="65"/>
      <c r="H75" s="65"/>
      <c r="I75" s="141"/>
      <c r="J75" s="65"/>
      <c r="K75" s="65"/>
      <c r="L75" s="65"/>
      <c r="M75" s="67">
        <v>0</v>
      </c>
      <c r="N75" s="29"/>
      <c r="O75" s="6"/>
      <c r="P75" s="132"/>
    </row>
    <row r="76" spans="1:20" ht="15.75">
      <c r="A76" s="28"/>
      <c r="B76" s="29" t="s">
        <v>19</v>
      </c>
      <c r="C76" s="67">
        <f>SUM(C68:C74)+C61</f>
        <v>194998</v>
      </c>
      <c r="D76" s="67"/>
      <c r="E76" s="67">
        <f>SUM(E68:E75)+E61</f>
        <v>197924</v>
      </c>
      <c r="F76" s="65"/>
      <c r="G76" s="65">
        <f>G72-G74</f>
        <v>32170</v>
      </c>
      <c r="H76" s="65"/>
      <c r="I76" s="65"/>
      <c r="J76" s="65"/>
      <c r="K76" s="65"/>
      <c r="L76" s="65"/>
      <c r="M76" s="67">
        <f>SUM(M68:M75)+M61</f>
        <v>197924</v>
      </c>
      <c r="N76" s="29"/>
      <c r="O76" s="6"/>
      <c r="P76" s="132"/>
      <c r="R76" s="131"/>
      <c r="T76" s="131"/>
    </row>
    <row r="77" spans="1:16" ht="15.75">
      <c r="A77" s="28"/>
      <c r="B77" s="65"/>
      <c r="C77" s="65"/>
      <c r="D77" s="65"/>
      <c r="E77" s="65"/>
      <c r="F77" s="65"/>
      <c r="G77" s="65"/>
      <c r="H77" s="65"/>
      <c r="I77" s="65"/>
      <c r="J77" s="65"/>
      <c r="K77" s="65"/>
      <c r="L77" s="65"/>
      <c r="M77" s="65"/>
      <c r="N77" s="29"/>
      <c r="O77" s="6"/>
      <c r="P77" s="132"/>
    </row>
    <row r="78" spans="1:16" ht="15.75">
      <c r="A78" s="7"/>
      <c r="B78" s="68"/>
      <c r="C78" s="9"/>
      <c r="D78" s="9"/>
      <c r="E78" s="9"/>
      <c r="F78" s="9"/>
      <c r="G78" s="20" t="s">
        <v>192</v>
      </c>
      <c r="H78" s="9"/>
      <c r="I78" s="9"/>
      <c r="J78" s="9"/>
      <c r="K78" s="23"/>
      <c r="L78" s="9"/>
      <c r="M78" s="20" t="s">
        <v>192</v>
      </c>
      <c r="N78" s="9"/>
      <c r="O78" s="6"/>
      <c r="P78" s="132"/>
    </row>
    <row r="79" spans="1:19" ht="15.75">
      <c r="A79" s="7"/>
      <c r="B79" s="63" t="s">
        <v>51</v>
      </c>
      <c r="C79" s="17"/>
      <c r="D79" s="17" t="s">
        <v>178</v>
      </c>
      <c r="E79" s="17" t="s">
        <v>181</v>
      </c>
      <c r="F79" s="17"/>
      <c r="G79" s="20" t="s">
        <v>193</v>
      </c>
      <c r="H79" s="17"/>
      <c r="I79" s="17" t="s">
        <v>178</v>
      </c>
      <c r="J79" s="20"/>
      <c r="K79" s="20" t="s">
        <v>181</v>
      </c>
      <c r="L79" s="20"/>
      <c r="M79" s="20" t="s">
        <v>223</v>
      </c>
      <c r="N79" s="17"/>
      <c r="O79" s="6"/>
      <c r="P79" s="131"/>
      <c r="R79" s="132"/>
      <c r="S79" s="131"/>
    </row>
    <row r="80" spans="1:15" ht="15.75">
      <c r="A80" s="28"/>
      <c r="B80" s="29" t="s">
        <v>52</v>
      </c>
      <c r="C80" s="29"/>
      <c r="D80" s="29">
        <v>0</v>
      </c>
      <c r="E80" s="29">
        <v>0</v>
      </c>
      <c r="F80" s="29"/>
      <c r="G80" s="65">
        <f>SUM(C80:E80)</f>
        <v>0</v>
      </c>
      <c r="H80" s="29"/>
      <c r="I80" s="29">
        <v>0</v>
      </c>
      <c r="J80" s="29"/>
      <c r="K80" s="65">
        <f>SUM(G80:I80)</f>
        <v>0</v>
      </c>
      <c r="L80" s="29"/>
      <c r="M80" s="66">
        <v>0</v>
      </c>
      <c r="N80" s="29"/>
      <c r="O80" s="6"/>
    </row>
    <row r="81" spans="1:15" ht="15.75">
      <c r="A81" s="28"/>
      <c r="B81" s="29" t="s">
        <v>53</v>
      </c>
      <c r="C81" s="53"/>
      <c r="D81" s="29">
        <f>15789+32</f>
        <v>15821</v>
      </c>
      <c r="E81" s="29">
        <v>15343</v>
      </c>
      <c r="F81" s="29"/>
      <c r="G81" s="65">
        <f>E81+D81</f>
        <v>31164</v>
      </c>
      <c r="H81" s="29"/>
      <c r="I81" s="29"/>
      <c r="J81" s="29"/>
      <c r="K81" s="65">
        <v>0</v>
      </c>
      <c r="L81" s="29"/>
      <c r="M81" s="66"/>
      <c r="N81" s="29"/>
      <c r="O81" s="6"/>
    </row>
    <row r="82" spans="1:15" ht="15.75">
      <c r="A82" s="28"/>
      <c r="B82" s="29" t="s">
        <v>54</v>
      </c>
      <c r="C82" s="29"/>
      <c r="D82" s="29"/>
      <c r="E82" s="29"/>
      <c r="F82" s="29"/>
      <c r="G82" s="65"/>
      <c r="H82" s="29"/>
      <c r="I82" s="29">
        <f>1346+242+1368+309+1432+372+29-1927</f>
        <v>3171</v>
      </c>
      <c r="J82" s="29"/>
      <c r="K82" s="65">
        <f>-7553+3111+58+239+3373+62+273+3264+58+257+15+1</f>
        <v>3158</v>
      </c>
      <c r="L82" s="29"/>
      <c r="M82" s="66">
        <f>K82+I82</f>
        <v>6329</v>
      </c>
      <c r="N82" s="29"/>
      <c r="O82" s="6"/>
    </row>
    <row r="83" spans="1:15" ht="15.75">
      <c r="A83" s="28"/>
      <c r="B83" s="29" t="s">
        <v>55</v>
      </c>
      <c r="C83" s="29"/>
      <c r="D83" s="29"/>
      <c r="E83" s="29"/>
      <c r="F83" s="29"/>
      <c r="G83" s="65"/>
      <c r="H83" s="29"/>
      <c r="I83" s="29"/>
      <c r="J83" s="29"/>
      <c r="K83" s="65"/>
      <c r="L83" s="29"/>
      <c r="M83" s="66">
        <f>96+92+57</f>
        <v>245</v>
      </c>
      <c r="N83" s="29"/>
      <c r="O83" s="6"/>
    </row>
    <row r="84" spans="1:20" ht="15.75">
      <c r="A84" s="28"/>
      <c r="B84" s="29" t="s">
        <v>56</v>
      </c>
      <c r="C84" s="29"/>
      <c r="D84" s="29"/>
      <c r="E84" s="29"/>
      <c r="F84" s="29"/>
      <c r="G84" s="65"/>
      <c r="H84" s="29"/>
      <c r="I84" s="29"/>
      <c r="J84" s="29"/>
      <c r="K84" s="65"/>
      <c r="L84" s="29"/>
      <c r="M84" s="66">
        <v>0</v>
      </c>
      <c r="N84" s="29"/>
      <c r="O84" s="6"/>
      <c r="P84" s="132"/>
      <c r="R84" s="132"/>
      <c r="T84" s="132"/>
    </row>
    <row r="85" spans="1:20" ht="15.75">
      <c r="A85" s="28"/>
      <c r="B85" s="29" t="s">
        <v>57</v>
      </c>
      <c r="C85" s="29"/>
      <c r="D85" s="29"/>
      <c r="E85" s="29"/>
      <c r="F85" s="29"/>
      <c r="G85" s="65"/>
      <c r="H85" s="29"/>
      <c r="I85" s="29"/>
      <c r="J85" s="29"/>
      <c r="K85" s="65"/>
      <c r="L85" s="29"/>
      <c r="M85" s="66">
        <v>0</v>
      </c>
      <c r="N85" s="29"/>
      <c r="O85" s="6"/>
      <c r="P85" s="132"/>
      <c r="R85" s="132"/>
      <c r="T85" s="132"/>
    </row>
    <row r="86" spans="1:15" ht="15.75">
      <c r="A86" s="28"/>
      <c r="B86" s="29" t="s">
        <v>58</v>
      </c>
      <c r="C86" s="29"/>
      <c r="D86" s="65">
        <f>SUM(D80:D85)</f>
        <v>15821</v>
      </c>
      <c r="E86" s="65">
        <f>SUM(E80:E85)</f>
        <v>15343</v>
      </c>
      <c r="F86" s="29"/>
      <c r="G86" s="65">
        <f>SUM(G80:G85)</f>
        <v>31164</v>
      </c>
      <c r="H86" s="29"/>
      <c r="I86" s="65">
        <f>SUM(I80:I85)</f>
        <v>3171</v>
      </c>
      <c r="J86" s="29"/>
      <c r="K86" s="65">
        <f>SUM(K80:K85)</f>
        <v>3158</v>
      </c>
      <c r="L86" s="29"/>
      <c r="M86" s="67">
        <f>SUM(M80:M85)</f>
        <v>6574</v>
      </c>
      <c r="N86" s="29"/>
      <c r="O86" s="6"/>
    </row>
    <row r="87" spans="1:20" ht="15.75">
      <c r="A87" s="28"/>
      <c r="B87" s="29" t="s">
        <v>59</v>
      </c>
      <c r="C87" s="29"/>
      <c r="D87" s="65">
        <f>G59</f>
        <v>106</v>
      </c>
      <c r="E87" s="65">
        <f>G66</f>
        <v>46</v>
      </c>
      <c r="F87" s="29"/>
      <c r="G87" s="65">
        <f>E87+D87</f>
        <v>152</v>
      </c>
      <c r="H87" s="29"/>
      <c r="I87" s="65">
        <v>0</v>
      </c>
      <c r="J87" s="29"/>
      <c r="K87" s="65">
        <v>0</v>
      </c>
      <c r="L87" s="29"/>
      <c r="M87" s="66">
        <f>-G87</f>
        <v>-152</v>
      </c>
      <c r="N87" s="29"/>
      <c r="O87" s="6"/>
      <c r="P87" s="132"/>
      <c r="R87" s="132"/>
      <c r="T87" s="132"/>
    </row>
    <row r="88" spans="1:15" ht="15.75">
      <c r="A88" s="28"/>
      <c r="B88" s="29" t="s">
        <v>60</v>
      </c>
      <c r="C88" s="29"/>
      <c r="D88" s="65">
        <f>D86+D87</f>
        <v>15927</v>
      </c>
      <c r="E88" s="65">
        <f>E86+E87</f>
        <v>15389</v>
      </c>
      <c r="F88" s="29"/>
      <c r="G88" s="65">
        <f>G86+G87</f>
        <v>31316</v>
      </c>
      <c r="H88" s="29"/>
      <c r="I88" s="65">
        <f>I86+I87</f>
        <v>3171</v>
      </c>
      <c r="J88" s="29"/>
      <c r="K88" s="65">
        <f>K86+K87</f>
        <v>3158</v>
      </c>
      <c r="L88" s="29"/>
      <c r="M88" s="67">
        <f>M86+M87</f>
        <v>6422</v>
      </c>
      <c r="N88" s="29"/>
      <c r="O88" s="6"/>
    </row>
    <row r="89" spans="1:15" ht="15.75">
      <c r="A89" s="28"/>
      <c r="B89" s="157" t="s">
        <v>61</v>
      </c>
      <c r="C89" s="72"/>
      <c r="D89" s="72"/>
      <c r="E89" s="29"/>
      <c r="F89" s="29"/>
      <c r="G89" s="29"/>
      <c r="H89" s="29"/>
      <c r="I89" s="29"/>
      <c r="J89" s="29"/>
      <c r="K89" s="65"/>
      <c r="L89" s="29"/>
      <c r="M89" s="66"/>
      <c r="N89" s="29"/>
      <c r="O89" s="6"/>
    </row>
    <row r="90" spans="1:15" ht="15.75">
      <c r="A90" s="28">
        <v>1</v>
      </c>
      <c r="B90" s="29" t="s">
        <v>62</v>
      </c>
      <c r="C90" s="29"/>
      <c r="D90" s="29"/>
      <c r="E90" s="29"/>
      <c r="F90" s="29"/>
      <c r="G90" s="29"/>
      <c r="H90" s="29"/>
      <c r="I90" s="29"/>
      <c r="J90" s="29"/>
      <c r="K90" s="29"/>
      <c r="L90" s="29"/>
      <c r="M90" s="66">
        <v>-4</v>
      </c>
      <c r="N90" s="29"/>
      <c r="O90" s="6"/>
    </row>
    <row r="91" spans="1:15" ht="15.75">
      <c r="A91" s="28">
        <v>2</v>
      </c>
      <c r="B91" s="29" t="s">
        <v>63</v>
      </c>
      <c r="C91" s="29"/>
      <c r="D91" s="29"/>
      <c r="E91" s="29"/>
      <c r="F91" s="29"/>
      <c r="G91" s="29"/>
      <c r="H91" s="29"/>
      <c r="I91" s="29"/>
      <c r="J91" s="29"/>
      <c r="K91" s="29"/>
      <c r="L91" s="29"/>
      <c r="M91" s="66">
        <f>-214-84</f>
        <v>-298</v>
      </c>
      <c r="N91" s="29"/>
      <c r="O91" s="6"/>
    </row>
    <row r="92" spans="1:15" ht="15.75">
      <c r="A92" s="28">
        <v>3</v>
      </c>
      <c r="B92" s="29" t="s">
        <v>64</v>
      </c>
      <c r="C92" s="29"/>
      <c r="D92" s="29"/>
      <c r="E92" s="29"/>
      <c r="F92" s="29"/>
      <c r="G92" s="29"/>
      <c r="H92" s="29"/>
      <c r="I92" s="29"/>
      <c r="J92" s="29"/>
      <c r="K92" s="29"/>
      <c r="L92" s="29"/>
      <c r="M92" s="66">
        <v>-1683</v>
      </c>
      <c r="N92" s="29"/>
      <c r="O92" s="6"/>
    </row>
    <row r="93" spans="1:15" ht="15.75">
      <c r="A93" s="28">
        <v>4</v>
      </c>
      <c r="B93" s="29" t="s">
        <v>227</v>
      </c>
      <c r="C93" s="29"/>
      <c r="D93" s="29"/>
      <c r="E93" s="29"/>
      <c r="F93" s="29"/>
      <c r="G93" s="29"/>
      <c r="H93" s="29"/>
      <c r="I93" s="29"/>
      <c r="J93" s="29"/>
      <c r="K93" s="29"/>
      <c r="L93" s="29"/>
      <c r="M93" s="66">
        <v>-127</v>
      </c>
      <c r="N93" s="29"/>
      <c r="O93" s="6"/>
    </row>
    <row r="94" spans="1:15" ht="15.75">
      <c r="A94" s="28">
        <v>4</v>
      </c>
      <c r="B94" s="29" t="s">
        <v>65</v>
      </c>
      <c r="C94" s="29"/>
      <c r="D94" s="29"/>
      <c r="E94" s="29"/>
      <c r="F94" s="29"/>
      <c r="G94" s="29"/>
      <c r="H94" s="29"/>
      <c r="I94" s="29"/>
      <c r="J94" s="29"/>
      <c r="K94" s="29"/>
      <c r="L94" s="29"/>
      <c r="M94" s="66">
        <v>-5</v>
      </c>
      <c r="N94" s="29"/>
      <c r="O94" s="6"/>
    </row>
    <row r="95" spans="1:15" ht="15.75">
      <c r="A95" s="28">
        <v>5</v>
      </c>
      <c r="B95" s="29" t="s">
        <v>66</v>
      </c>
      <c r="C95" s="29"/>
      <c r="D95" s="29"/>
      <c r="E95" s="29"/>
      <c r="F95" s="29"/>
      <c r="G95" s="29"/>
      <c r="H95" s="29"/>
      <c r="I95" s="29"/>
      <c r="J95" s="29"/>
      <c r="K95" s="29"/>
      <c r="L95" s="29"/>
      <c r="M95" s="66">
        <v>-183</v>
      </c>
      <c r="N95" s="29"/>
      <c r="O95" s="6"/>
    </row>
    <row r="96" spans="1:15" ht="15.75">
      <c r="A96" s="28">
        <v>6</v>
      </c>
      <c r="B96" s="29" t="s">
        <v>67</v>
      </c>
      <c r="C96" s="29"/>
      <c r="D96" s="29"/>
      <c r="E96" s="29"/>
      <c r="F96" s="29"/>
      <c r="G96" s="29"/>
      <c r="H96" s="29"/>
      <c r="I96" s="29"/>
      <c r="J96" s="29"/>
      <c r="K96" s="29"/>
      <c r="L96" s="29"/>
      <c r="M96" s="66">
        <v>-133</v>
      </c>
      <c r="N96" s="29"/>
      <c r="O96" s="6"/>
    </row>
    <row r="97" spans="1:15" ht="15.75">
      <c r="A97" s="28">
        <v>7</v>
      </c>
      <c r="B97" s="29" t="s">
        <v>68</v>
      </c>
      <c r="C97" s="29"/>
      <c r="D97" s="29"/>
      <c r="E97" s="29"/>
      <c r="F97" s="29"/>
      <c r="G97" s="29"/>
      <c r="H97" s="29"/>
      <c r="I97" s="29"/>
      <c r="J97" s="29"/>
      <c r="K97" s="29"/>
      <c r="L97" s="29"/>
      <c r="M97" s="66">
        <v>0</v>
      </c>
      <c r="N97" s="29"/>
      <c r="O97" s="6"/>
    </row>
    <row r="98" spans="1:15" ht="15.75">
      <c r="A98" s="28">
        <v>8</v>
      </c>
      <c r="B98" s="29" t="s">
        <v>69</v>
      </c>
      <c r="C98" s="29"/>
      <c r="D98" s="29"/>
      <c r="E98" s="29"/>
      <c r="F98" s="29"/>
      <c r="G98" s="29"/>
      <c r="H98" s="29"/>
      <c r="I98" s="29"/>
      <c r="J98" s="29"/>
      <c r="K98" s="65">
        <f>-M98</f>
        <v>854</v>
      </c>
      <c r="L98" s="29"/>
      <c r="M98" s="66">
        <f>I73</f>
        <v>-854</v>
      </c>
      <c r="N98" s="29"/>
      <c r="O98" s="6"/>
    </row>
    <row r="99" spans="1:15" ht="15.75">
      <c r="A99" s="28">
        <v>9</v>
      </c>
      <c r="B99" s="29" t="s">
        <v>46</v>
      </c>
      <c r="C99" s="29"/>
      <c r="D99" s="29"/>
      <c r="E99" s="29"/>
      <c r="F99" s="29"/>
      <c r="G99" s="29"/>
      <c r="H99" s="29"/>
      <c r="I99" s="29"/>
      <c r="J99" s="29"/>
      <c r="K99" s="65">
        <f>-M99</f>
        <v>0</v>
      </c>
      <c r="L99" s="29"/>
      <c r="M99" s="66">
        <v>0</v>
      </c>
      <c r="N99" s="29"/>
      <c r="O99" s="6"/>
    </row>
    <row r="100" spans="1:15" ht="15.75">
      <c r="A100" s="28">
        <v>10</v>
      </c>
      <c r="B100" s="29" t="s">
        <v>228</v>
      </c>
      <c r="C100" s="29"/>
      <c r="D100" s="29"/>
      <c r="E100" s="29"/>
      <c r="F100" s="29"/>
      <c r="G100" s="29"/>
      <c r="H100" s="29"/>
      <c r="I100" s="29"/>
      <c r="J100" s="29"/>
      <c r="K100" s="29"/>
      <c r="L100" s="29"/>
      <c r="M100" s="66">
        <v>-312</v>
      </c>
      <c r="N100" s="29"/>
      <c r="O100" s="6"/>
    </row>
    <row r="101" spans="1:15" ht="15.75">
      <c r="A101" s="28">
        <v>11</v>
      </c>
      <c r="B101" s="29" t="s">
        <v>71</v>
      </c>
      <c r="C101" s="29"/>
      <c r="D101" s="29"/>
      <c r="E101" s="29"/>
      <c r="F101" s="29"/>
      <c r="G101" s="29"/>
      <c r="H101" s="29"/>
      <c r="I101" s="29"/>
      <c r="J101" s="29"/>
      <c r="K101" s="29"/>
      <c r="L101" s="29"/>
      <c r="M101" s="66">
        <f>SUM(M88:M100)*-1</f>
        <v>-2823</v>
      </c>
      <c r="N101" s="29"/>
      <c r="O101" s="6"/>
    </row>
    <row r="102" spans="1:16" ht="15.75">
      <c r="A102" s="28"/>
      <c r="B102" s="157" t="s">
        <v>72</v>
      </c>
      <c r="C102" s="72"/>
      <c r="D102" s="72"/>
      <c r="E102" s="29"/>
      <c r="F102" s="29"/>
      <c r="G102" s="29"/>
      <c r="H102" s="29"/>
      <c r="I102" s="29"/>
      <c r="J102" s="29"/>
      <c r="K102" s="29"/>
      <c r="L102" s="29"/>
      <c r="M102" s="73"/>
      <c r="N102" s="29"/>
      <c r="O102" s="6"/>
      <c r="P102" s="132"/>
    </row>
    <row r="103" spans="1:15" ht="15.75">
      <c r="A103" s="28"/>
      <c r="B103" s="74" t="s">
        <v>73</v>
      </c>
      <c r="C103" s="72"/>
      <c r="D103" s="72"/>
      <c r="E103" s="29"/>
      <c r="F103" s="29"/>
      <c r="G103" s="29"/>
      <c r="H103" s="29"/>
      <c r="I103" s="29"/>
      <c r="J103" s="29"/>
      <c r="K103" s="65">
        <f>E72</f>
        <v>19425</v>
      </c>
      <c r="L103" s="29"/>
      <c r="M103" s="73"/>
      <c r="N103" s="29"/>
      <c r="O103" s="6"/>
    </row>
    <row r="104" spans="1:15" ht="15.75">
      <c r="A104" s="28"/>
      <c r="B104" s="74" t="s">
        <v>74</v>
      </c>
      <c r="C104" s="72"/>
      <c r="D104" s="72"/>
      <c r="E104" s="29"/>
      <c r="F104" s="29"/>
      <c r="G104" s="29"/>
      <c r="H104" s="29"/>
      <c r="I104" s="29"/>
      <c r="J104" s="29"/>
      <c r="K104" s="65">
        <f>G88</f>
        <v>31316</v>
      </c>
      <c r="L104" s="29"/>
      <c r="M104" s="73"/>
      <c r="N104" s="29"/>
      <c r="O104" s="6"/>
    </row>
    <row r="105" spans="1:15" ht="15.75">
      <c r="A105" s="142"/>
      <c r="B105" s="29" t="s">
        <v>75</v>
      </c>
      <c r="C105" s="72"/>
      <c r="D105" s="72"/>
      <c r="E105" s="29"/>
      <c r="F105" s="29"/>
      <c r="G105" s="29"/>
      <c r="H105" s="29"/>
      <c r="I105" s="29"/>
      <c r="J105" s="29"/>
      <c r="K105" s="65">
        <f>-I68-I61</f>
        <v>-47880</v>
      </c>
      <c r="L105" s="29"/>
      <c r="M105" s="73"/>
      <c r="N105" s="29"/>
      <c r="O105" s="6"/>
    </row>
    <row r="106" spans="1:15" ht="15.75">
      <c r="A106" s="28"/>
      <c r="B106" s="29" t="s">
        <v>76</v>
      </c>
      <c r="C106" s="72"/>
      <c r="D106" s="72"/>
      <c r="E106" s="29"/>
      <c r="F106" s="29"/>
      <c r="G106" s="29"/>
      <c r="H106" s="29"/>
      <c r="I106" s="29"/>
      <c r="J106" s="29"/>
      <c r="K106" s="65">
        <v>0</v>
      </c>
      <c r="L106" s="65"/>
      <c r="M106" s="66"/>
      <c r="N106" s="29"/>
      <c r="O106" s="6"/>
    </row>
    <row r="107" spans="1:15" ht="15.75">
      <c r="A107" s="28"/>
      <c r="B107" s="29" t="s">
        <v>77</v>
      </c>
      <c r="C107" s="29"/>
      <c r="D107" s="29"/>
      <c r="E107" s="29"/>
      <c r="F107" s="29"/>
      <c r="G107" s="29"/>
      <c r="H107" s="29"/>
      <c r="I107" s="29"/>
      <c r="J107" s="29"/>
      <c r="K107" s="65">
        <v>0</v>
      </c>
      <c r="L107" s="65"/>
      <c r="M107" s="66"/>
      <c r="N107" s="29"/>
      <c r="O107" s="6"/>
    </row>
    <row r="108" spans="1:15" ht="15.75">
      <c r="A108" s="28"/>
      <c r="B108" s="29" t="s">
        <v>78</v>
      </c>
      <c r="C108" s="29"/>
      <c r="D108" s="29"/>
      <c r="E108" s="29"/>
      <c r="F108" s="29"/>
      <c r="G108" s="29"/>
      <c r="H108" s="29"/>
      <c r="I108" s="29"/>
      <c r="J108" s="29"/>
      <c r="K108" s="65">
        <v>0</v>
      </c>
      <c r="L108" s="65"/>
      <c r="M108" s="66"/>
      <c r="N108" s="29"/>
      <c r="O108" s="6"/>
    </row>
    <row r="109" spans="1:15" ht="15.75">
      <c r="A109" s="28"/>
      <c r="B109" s="29" t="s">
        <v>79</v>
      </c>
      <c r="C109" s="29"/>
      <c r="D109" s="29"/>
      <c r="E109" s="29"/>
      <c r="F109" s="29"/>
      <c r="G109" s="29"/>
      <c r="H109" s="29"/>
      <c r="I109" s="29"/>
      <c r="J109" s="29"/>
      <c r="K109" s="65">
        <v>0</v>
      </c>
      <c r="L109" s="65"/>
      <c r="M109" s="66"/>
      <c r="N109" s="29"/>
      <c r="O109" s="6"/>
    </row>
    <row r="110" spans="1:15" ht="15.75">
      <c r="A110" s="28"/>
      <c r="B110" s="29" t="s">
        <v>80</v>
      </c>
      <c r="C110" s="29"/>
      <c r="D110" s="29"/>
      <c r="E110" s="29"/>
      <c r="F110" s="29"/>
      <c r="G110" s="29"/>
      <c r="H110" s="29"/>
      <c r="I110" s="29"/>
      <c r="J110" s="29"/>
      <c r="K110" s="65">
        <v>0</v>
      </c>
      <c r="L110" s="65"/>
      <c r="M110" s="66"/>
      <c r="N110" s="29"/>
      <c r="O110" s="6"/>
    </row>
    <row r="111" spans="1:15" ht="15.75">
      <c r="A111" s="28"/>
      <c r="B111" s="29" t="s">
        <v>81</v>
      </c>
      <c r="C111" s="29"/>
      <c r="D111" s="29"/>
      <c r="E111" s="29"/>
      <c r="F111" s="29"/>
      <c r="G111" s="29"/>
      <c r="H111" s="29"/>
      <c r="I111" s="29"/>
      <c r="J111" s="29"/>
      <c r="K111" s="65">
        <v>0</v>
      </c>
      <c r="L111" s="65"/>
      <c r="M111" s="66"/>
      <c r="N111" s="29"/>
      <c r="O111" s="6"/>
    </row>
    <row r="112" spans="1:15" ht="15.75">
      <c r="A112" s="28"/>
      <c r="B112" s="29" t="s">
        <v>82</v>
      </c>
      <c r="C112" s="29"/>
      <c r="D112" s="29"/>
      <c r="E112" s="29"/>
      <c r="F112" s="29"/>
      <c r="G112" s="29"/>
      <c r="H112" s="29"/>
      <c r="I112" s="29"/>
      <c r="J112" s="29"/>
      <c r="K112" s="65">
        <f>SUM(K105:K111)</f>
        <v>-47880</v>
      </c>
      <c r="L112" s="65"/>
      <c r="M112" s="65">
        <f>SUM(M89:M101)</f>
        <v>-6422</v>
      </c>
      <c r="N112" s="29"/>
      <c r="O112" s="6"/>
    </row>
    <row r="113" spans="1:15" ht="15.75">
      <c r="A113" s="28"/>
      <c r="B113" s="29" t="s">
        <v>83</v>
      </c>
      <c r="C113" s="29"/>
      <c r="D113" s="29"/>
      <c r="E113" s="29"/>
      <c r="F113" s="29"/>
      <c r="G113" s="29"/>
      <c r="H113" s="29"/>
      <c r="I113" s="29"/>
      <c r="J113" s="29"/>
      <c r="K113" s="65">
        <f>SUM(K103:K111)+SUM(K98:K99)</f>
        <v>3715</v>
      </c>
      <c r="L113" s="65"/>
      <c r="M113" s="65">
        <f>M88+M112</f>
        <v>0</v>
      </c>
      <c r="N113" s="29"/>
      <c r="O113" s="6"/>
    </row>
    <row r="114" spans="1:15" ht="15.75">
      <c r="A114" s="28"/>
      <c r="B114" s="29"/>
      <c r="C114" s="29"/>
      <c r="D114" s="29"/>
      <c r="E114" s="29"/>
      <c r="F114" s="29"/>
      <c r="G114" s="29"/>
      <c r="H114" s="29"/>
      <c r="I114" s="29"/>
      <c r="J114" s="29"/>
      <c r="K114" s="65"/>
      <c r="L114" s="65"/>
      <c r="M114" s="65"/>
      <c r="N114" s="29"/>
      <c r="O114" s="6"/>
    </row>
    <row r="115" spans="1:15" ht="15.75">
      <c r="A115" s="7"/>
      <c r="B115" s="14"/>
      <c r="C115" s="9"/>
      <c r="D115" s="9"/>
      <c r="E115" s="9"/>
      <c r="F115" s="9"/>
      <c r="G115" s="9"/>
      <c r="H115" s="9"/>
      <c r="I115" s="9"/>
      <c r="J115" s="9"/>
      <c r="K115" s="68"/>
      <c r="L115" s="68"/>
      <c r="M115" s="68"/>
      <c r="N115" s="9"/>
      <c r="O115" s="6"/>
    </row>
    <row r="116" spans="1:15" ht="16.5" thickBot="1">
      <c r="A116" s="134"/>
      <c r="B116" s="135" t="str">
        <f>B53</f>
        <v>PASF1 INVESTOR REPORT QUARTER ENDING OCTOBER 2003</v>
      </c>
      <c r="C116" s="136"/>
      <c r="D116" s="136"/>
      <c r="E116" s="136"/>
      <c r="F116" s="136"/>
      <c r="G116" s="136"/>
      <c r="H116" s="136"/>
      <c r="I116" s="136"/>
      <c r="J116" s="136"/>
      <c r="K116" s="139"/>
      <c r="L116" s="139"/>
      <c r="M116" s="139"/>
      <c r="N116" s="138"/>
      <c r="O116" s="6"/>
    </row>
    <row r="117" spans="1:15" ht="15.75">
      <c r="A117" s="2"/>
      <c r="B117" s="5"/>
      <c r="C117" s="5"/>
      <c r="D117" s="5"/>
      <c r="E117" s="5"/>
      <c r="F117" s="5"/>
      <c r="G117" s="5"/>
      <c r="H117" s="5"/>
      <c r="I117" s="5"/>
      <c r="J117" s="5"/>
      <c r="K117" s="76"/>
      <c r="L117" s="76"/>
      <c r="M117" s="76"/>
      <c r="N117" s="5"/>
      <c r="O117" s="6"/>
    </row>
    <row r="118" spans="1:15" ht="15.75">
      <c r="A118" s="7"/>
      <c r="B118" s="9"/>
      <c r="C118" s="9"/>
      <c r="D118" s="9"/>
      <c r="E118" s="9"/>
      <c r="F118" s="9"/>
      <c r="G118" s="9"/>
      <c r="H118" s="9"/>
      <c r="I118" s="9"/>
      <c r="J118" s="9"/>
      <c r="K118" s="9"/>
      <c r="L118" s="9"/>
      <c r="M118" s="64"/>
      <c r="N118" s="9"/>
      <c r="O118" s="6"/>
    </row>
    <row r="119" spans="1:15" ht="15.75">
      <c r="A119" s="77"/>
      <c r="B119" s="78"/>
      <c r="C119" s="78"/>
      <c r="D119" s="78"/>
      <c r="E119" s="78"/>
      <c r="F119" s="78"/>
      <c r="G119" s="78"/>
      <c r="H119" s="78"/>
      <c r="I119" s="78"/>
      <c r="J119" s="78"/>
      <c r="K119" s="78"/>
      <c r="L119" s="78"/>
      <c r="M119" s="79"/>
      <c r="N119" s="78"/>
      <c r="O119" s="6"/>
    </row>
    <row r="120" spans="1:15" ht="15.75">
      <c r="A120" s="77"/>
      <c r="B120" s="80" t="s">
        <v>84</v>
      </c>
      <c r="C120" s="78"/>
      <c r="D120" s="78"/>
      <c r="E120" s="78"/>
      <c r="F120" s="78"/>
      <c r="G120" s="78"/>
      <c r="H120" s="78"/>
      <c r="I120" s="78"/>
      <c r="J120" s="78"/>
      <c r="K120" s="78"/>
      <c r="L120" s="78"/>
      <c r="M120" s="79"/>
      <c r="N120" s="81"/>
      <c r="O120" s="6"/>
    </row>
    <row r="121" spans="1:15" ht="15.75">
      <c r="A121" s="77"/>
      <c r="B121" s="78"/>
      <c r="C121" s="78"/>
      <c r="D121" s="78"/>
      <c r="E121" s="78"/>
      <c r="F121" s="78"/>
      <c r="G121" s="78"/>
      <c r="H121" s="78"/>
      <c r="I121" s="78"/>
      <c r="J121" s="78"/>
      <c r="K121" s="78"/>
      <c r="L121" s="78"/>
      <c r="M121" s="79"/>
      <c r="N121" s="78"/>
      <c r="O121" s="6"/>
    </row>
    <row r="122" spans="1:15" ht="15.75">
      <c r="A122" s="7"/>
      <c r="B122" s="158" t="s">
        <v>85</v>
      </c>
      <c r="C122" s="15"/>
      <c r="D122" s="15"/>
      <c r="E122" s="9"/>
      <c r="F122" s="9"/>
      <c r="G122" s="9"/>
      <c r="H122" s="9"/>
      <c r="I122" s="9"/>
      <c r="J122" s="9"/>
      <c r="K122" s="9"/>
      <c r="L122" s="9"/>
      <c r="M122" s="64"/>
      <c r="N122" s="9"/>
      <c r="O122" s="6"/>
    </row>
    <row r="123" spans="1:15" ht="15.75">
      <c r="A123" s="28"/>
      <c r="B123" s="29" t="s">
        <v>86</v>
      </c>
      <c r="C123" s="29"/>
      <c r="D123" s="29"/>
      <c r="E123" s="29"/>
      <c r="F123" s="29"/>
      <c r="G123" s="29"/>
      <c r="H123" s="29"/>
      <c r="I123" s="29"/>
      <c r="J123" s="29"/>
      <c r="K123" s="29"/>
      <c r="L123" s="29"/>
      <c r="M123" s="66">
        <v>5852</v>
      </c>
      <c r="N123" s="29"/>
      <c r="O123" s="6"/>
    </row>
    <row r="124" spans="1:15" ht="15.75">
      <c r="A124" s="28"/>
      <c r="B124" s="29" t="s">
        <v>87</v>
      </c>
      <c r="C124" s="29"/>
      <c r="D124" s="29"/>
      <c r="E124" s="29"/>
      <c r="F124" s="29"/>
      <c r="G124" s="29"/>
      <c r="H124" s="29"/>
      <c r="I124" s="29"/>
      <c r="J124" s="29"/>
      <c r="K124" s="29"/>
      <c r="L124" s="29"/>
      <c r="M124" s="66">
        <v>0</v>
      </c>
      <c r="N124" s="29"/>
      <c r="O124" s="6"/>
    </row>
    <row r="125" spans="1:15" ht="15.75">
      <c r="A125" s="28"/>
      <c r="B125" s="29" t="s">
        <v>88</v>
      </c>
      <c r="C125" s="29"/>
      <c r="D125" s="29"/>
      <c r="E125" s="29"/>
      <c r="F125" s="29"/>
      <c r="G125" s="29"/>
      <c r="H125" s="29"/>
      <c r="I125" s="29"/>
      <c r="J125" s="29"/>
      <c r="K125" s="29"/>
      <c r="L125" s="29"/>
      <c r="M125" s="66">
        <v>0</v>
      </c>
      <c r="N125" s="29"/>
      <c r="O125" s="6"/>
    </row>
    <row r="126" spans="1:15" ht="15.75">
      <c r="A126" s="28"/>
      <c r="B126" s="29" t="s">
        <v>89</v>
      </c>
      <c r="C126" s="29"/>
      <c r="D126" s="29"/>
      <c r="E126" s="29"/>
      <c r="F126" s="29"/>
      <c r="G126" s="29"/>
      <c r="H126" s="29"/>
      <c r="I126" s="29"/>
      <c r="J126" s="29"/>
      <c r="K126" s="29"/>
      <c r="L126" s="29"/>
      <c r="M126" s="66">
        <v>0</v>
      </c>
      <c r="N126" s="29"/>
      <c r="O126" s="6"/>
    </row>
    <row r="127" spans="1:15" ht="15.75">
      <c r="A127" s="28"/>
      <c r="B127" s="29" t="s">
        <v>90</v>
      </c>
      <c r="C127" s="29"/>
      <c r="D127" s="29"/>
      <c r="E127" s="29"/>
      <c r="F127" s="29"/>
      <c r="G127" s="29"/>
      <c r="H127" s="29"/>
      <c r="I127" s="29"/>
      <c r="J127" s="29"/>
      <c r="K127" s="29"/>
      <c r="L127" s="29"/>
      <c r="M127" s="66">
        <v>0</v>
      </c>
      <c r="N127" s="29"/>
      <c r="O127" s="6"/>
    </row>
    <row r="128" spans="1:15" ht="15.75">
      <c r="A128" s="28"/>
      <c r="B128" s="29" t="s">
        <v>91</v>
      </c>
      <c r="C128" s="29"/>
      <c r="D128" s="29"/>
      <c r="E128" s="29"/>
      <c r="F128" s="29"/>
      <c r="G128" s="29"/>
      <c r="H128" s="29"/>
      <c r="I128" s="29"/>
      <c r="J128" s="29"/>
      <c r="K128" s="29"/>
      <c r="L128" s="29"/>
      <c r="M128" s="66">
        <v>0</v>
      </c>
      <c r="N128" s="29"/>
      <c r="O128" s="6"/>
    </row>
    <row r="129" spans="1:15" ht="15.75">
      <c r="A129" s="28"/>
      <c r="B129" s="29" t="s">
        <v>66</v>
      </c>
      <c r="C129" s="29"/>
      <c r="D129" s="29"/>
      <c r="E129" s="29"/>
      <c r="F129" s="29"/>
      <c r="G129" s="29"/>
      <c r="H129" s="29"/>
      <c r="I129" s="29"/>
      <c r="J129" s="29"/>
      <c r="K129" s="29"/>
      <c r="L129" s="29"/>
      <c r="M129" s="66">
        <v>0</v>
      </c>
      <c r="N129" s="29"/>
      <c r="O129" s="6"/>
    </row>
    <row r="130" spans="1:15" ht="15.75">
      <c r="A130" s="28"/>
      <c r="B130" s="29" t="s">
        <v>67</v>
      </c>
      <c r="C130" s="29"/>
      <c r="D130" s="29"/>
      <c r="E130" s="29"/>
      <c r="F130" s="29"/>
      <c r="G130" s="29"/>
      <c r="H130" s="29"/>
      <c r="I130" s="29"/>
      <c r="J130" s="29"/>
      <c r="K130" s="29"/>
      <c r="L130" s="29"/>
      <c r="M130" s="66">
        <v>0</v>
      </c>
      <c r="N130" s="29"/>
      <c r="O130" s="6"/>
    </row>
    <row r="131" spans="1:15" ht="15.75">
      <c r="A131" s="28"/>
      <c r="B131" s="29" t="s">
        <v>92</v>
      </c>
      <c r="C131" s="29"/>
      <c r="D131" s="29"/>
      <c r="E131" s="29"/>
      <c r="F131" s="29"/>
      <c r="G131" s="29"/>
      <c r="H131" s="29"/>
      <c r="I131" s="29"/>
      <c r="J131" s="29"/>
      <c r="K131" s="29"/>
      <c r="L131" s="29"/>
      <c r="M131" s="66">
        <f>M123+M126</f>
        <v>5852</v>
      </c>
      <c r="N131" s="29"/>
      <c r="O131" s="6"/>
    </row>
    <row r="132" spans="1:15" ht="15.75">
      <c r="A132" s="28"/>
      <c r="B132" s="29"/>
      <c r="C132" s="29"/>
      <c r="D132" s="29"/>
      <c r="E132" s="29"/>
      <c r="F132" s="29"/>
      <c r="G132" s="29"/>
      <c r="H132" s="29"/>
      <c r="I132" s="29"/>
      <c r="J132" s="29"/>
      <c r="K132" s="29"/>
      <c r="L132" s="29"/>
      <c r="M132" s="82"/>
      <c r="N132" s="29"/>
      <c r="O132" s="6"/>
    </row>
    <row r="133" spans="1:15" ht="15.75">
      <c r="A133" s="7"/>
      <c r="B133" s="158" t="s">
        <v>50</v>
      </c>
      <c r="C133" s="9"/>
      <c r="D133" s="9"/>
      <c r="E133" s="9"/>
      <c r="F133" s="9"/>
      <c r="G133" s="9"/>
      <c r="H133" s="9"/>
      <c r="I133" s="9"/>
      <c r="J133" s="9"/>
      <c r="K133" s="9"/>
      <c r="L133" s="9"/>
      <c r="M133" s="64"/>
      <c r="N133" s="9"/>
      <c r="O133" s="6"/>
    </row>
    <row r="134" spans="1:15" ht="15.75">
      <c r="A134" s="28"/>
      <c r="B134" s="29" t="s">
        <v>93</v>
      </c>
      <c r="C134" s="83"/>
      <c r="D134" s="83"/>
      <c r="E134" s="29"/>
      <c r="F134" s="29"/>
      <c r="G134" s="29"/>
      <c r="H134" s="29"/>
      <c r="I134" s="29"/>
      <c r="J134" s="29"/>
      <c r="K134" s="29"/>
      <c r="L134" s="29"/>
      <c r="M134" s="66">
        <v>2926</v>
      </c>
      <c r="N134" s="29"/>
      <c r="O134" s="6"/>
    </row>
    <row r="135" spans="1:15" ht="15.75">
      <c r="A135" s="28"/>
      <c r="B135" s="29" t="s">
        <v>94</v>
      </c>
      <c r="C135" s="29"/>
      <c r="D135" s="29"/>
      <c r="E135" s="29"/>
      <c r="F135" s="29"/>
      <c r="G135" s="29"/>
      <c r="H135" s="29"/>
      <c r="I135" s="29"/>
      <c r="J135" s="29"/>
      <c r="K135" s="29"/>
      <c r="L135" s="29"/>
      <c r="M135" s="66">
        <v>2926</v>
      </c>
      <c r="N135" s="29"/>
      <c r="O135" s="6"/>
    </row>
    <row r="136" spans="1:15" ht="15.75">
      <c r="A136" s="28"/>
      <c r="B136" s="29" t="s">
        <v>95</v>
      </c>
      <c r="C136" s="29"/>
      <c r="D136" s="29"/>
      <c r="E136" s="29"/>
      <c r="F136" s="29"/>
      <c r="G136" s="29"/>
      <c r="H136" s="29"/>
      <c r="I136" s="29"/>
      <c r="J136" s="29"/>
      <c r="K136" s="29"/>
      <c r="L136" s="29"/>
      <c r="M136" s="66">
        <f>-M99</f>
        <v>0</v>
      </c>
      <c r="N136" s="29"/>
      <c r="O136" s="6"/>
    </row>
    <row r="137" spans="1:15" ht="15.75">
      <c r="A137" s="28"/>
      <c r="B137" s="29" t="s">
        <v>96</v>
      </c>
      <c r="C137" s="29"/>
      <c r="D137" s="29"/>
      <c r="E137" s="29"/>
      <c r="F137" s="29"/>
      <c r="G137" s="29"/>
      <c r="H137" s="29"/>
      <c r="I137" s="29"/>
      <c r="J137" s="29"/>
      <c r="K137" s="29"/>
      <c r="L137" s="29"/>
      <c r="M137" s="66">
        <f>M134-M135-M136</f>
        <v>0</v>
      </c>
      <c r="N137" s="29"/>
      <c r="O137" s="6"/>
    </row>
    <row r="138" spans="1:15" ht="15.75">
      <c r="A138" s="28"/>
      <c r="B138" s="29"/>
      <c r="C138" s="29"/>
      <c r="D138" s="29"/>
      <c r="E138" s="29"/>
      <c r="F138" s="29"/>
      <c r="G138" s="29"/>
      <c r="H138" s="29"/>
      <c r="I138" s="29"/>
      <c r="J138" s="29"/>
      <c r="K138" s="29"/>
      <c r="L138" s="29"/>
      <c r="M138" s="84"/>
      <c r="N138" s="29"/>
      <c r="O138" s="6"/>
    </row>
    <row r="139" spans="1:15" ht="15.75">
      <c r="A139" s="7"/>
      <c r="B139" s="158" t="s">
        <v>97</v>
      </c>
      <c r="C139" s="15"/>
      <c r="D139" s="15"/>
      <c r="E139" s="9"/>
      <c r="F139" s="9"/>
      <c r="G139" s="17" t="s">
        <v>178</v>
      </c>
      <c r="H139" s="17"/>
      <c r="I139" s="17" t="s">
        <v>181</v>
      </c>
      <c r="J139" s="9"/>
      <c r="K139" s="9"/>
      <c r="L139" s="9"/>
      <c r="M139" s="85"/>
      <c r="N139" s="9"/>
      <c r="O139" s="6"/>
    </row>
    <row r="140" spans="1:15" ht="15.75">
      <c r="A140" s="7"/>
      <c r="B140" s="15"/>
      <c r="C140" s="15"/>
      <c r="D140" s="15"/>
      <c r="E140" s="9"/>
      <c r="F140" s="9"/>
      <c r="G140" s="9"/>
      <c r="H140" s="9"/>
      <c r="I140" s="9"/>
      <c r="J140" s="9"/>
      <c r="K140" s="9"/>
      <c r="L140" s="9"/>
      <c r="M140" s="85"/>
      <c r="N140" s="9"/>
      <c r="O140" s="6"/>
    </row>
    <row r="141" spans="1:15" ht="15.75">
      <c r="A141" s="28"/>
      <c r="B141" s="29" t="s">
        <v>98</v>
      </c>
      <c r="C141" s="29"/>
      <c r="D141" s="29"/>
      <c r="E141" s="29"/>
      <c r="F141" s="29"/>
      <c r="G141" s="29">
        <v>0</v>
      </c>
      <c r="H141" s="29"/>
      <c r="I141" s="29">
        <v>0</v>
      </c>
      <c r="J141" s="29"/>
      <c r="K141" s="29"/>
      <c r="L141" s="29"/>
      <c r="M141" s="66">
        <v>0</v>
      </c>
      <c r="N141" s="29"/>
      <c r="O141" s="6"/>
    </row>
    <row r="142" spans="1:15" ht="15.75">
      <c r="A142" s="28"/>
      <c r="B142" s="29" t="s">
        <v>99</v>
      </c>
      <c r="C142" s="29"/>
      <c r="D142" s="29"/>
      <c r="E142" s="29"/>
      <c r="F142" s="29"/>
      <c r="G142" s="29">
        <v>100</v>
      </c>
      <c r="H142" s="29"/>
      <c r="I142" s="29">
        <v>754</v>
      </c>
      <c r="J142" s="29"/>
      <c r="K142" s="29"/>
      <c r="L142" s="29"/>
      <c r="M142" s="66">
        <f>SUM(G142:I142)</f>
        <v>854</v>
      </c>
      <c r="N142" s="29"/>
      <c r="O142" s="6"/>
    </row>
    <row r="143" spans="1:15" ht="15.75">
      <c r="A143" s="28"/>
      <c r="B143" s="29" t="s">
        <v>100</v>
      </c>
      <c r="C143" s="29"/>
      <c r="D143" s="29"/>
      <c r="E143" s="29"/>
      <c r="F143" s="29"/>
      <c r="G143" s="29"/>
      <c r="H143" s="29"/>
      <c r="I143" s="86"/>
      <c r="J143" s="29"/>
      <c r="K143" s="29"/>
      <c r="L143" s="29"/>
      <c r="M143" s="66">
        <f>M98</f>
        <v>-854</v>
      </c>
      <c r="N143" s="29"/>
      <c r="O143" s="6"/>
    </row>
    <row r="144" spans="1:15" ht="15.75">
      <c r="A144" s="28"/>
      <c r="B144" s="29" t="s">
        <v>101</v>
      </c>
      <c r="C144" s="29"/>
      <c r="D144" s="29"/>
      <c r="E144" s="29"/>
      <c r="F144" s="29"/>
      <c r="G144" s="29"/>
      <c r="H144" s="29"/>
      <c r="I144" s="29"/>
      <c r="J144" s="29"/>
      <c r="K144" s="29"/>
      <c r="L144" s="29"/>
      <c r="M144" s="66">
        <f>M143+M142</f>
        <v>0</v>
      </c>
      <c r="N144" s="29"/>
      <c r="O144" s="6"/>
    </row>
    <row r="145" spans="1:15" ht="15.75">
      <c r="A145" s="28"/>
      <c r="B145" s="29"/>
      <c r="C145" s="29"/>
      <c r="D145" s="29"/>
      <c r="E145" s="29"/>
      <c r="F145" s="29"/>
      <c r="G145" s="29"/>
      <c r="H145" s="29"/>
      <c r="I145" s="29"/>
      <c r="J145" s="29"/>
      <c r="K145" s="29"/>
      <c r="L145" s="29"/>
      <c r="M145" s="82"/>
      <c r="N145" s="29"/>
      <c r="O145" s="6"/>
    </row>
    <row r="146" spans="1:15" ht="15.75">
      <c r="A146" s="7"/>
      <c r="B146" s="9"/>
      <c r="C146" s="9"/>
      <c r="D146" s="9"/>
      <c r="E146" s="9"/>
      <c r="F146" s="9"/>
      <c r="G146" s="9"/>
      <c r="H146" s="9"/>
      <c r="I146" s="9"/>
      <c r="J146" s="9"/>
      <c r="K146" s="9"/>
      <c r="L146" s="9"/>
      <c r="M146" s="64"/>
      <c r="N146" s="9"/>
      <c r="O146" s="6"/>
    </row>
    <row r="147" spans="1:15" ht="15.75">
      <c r="A147" s="7"/>
      <c r="B147" s="158" t="s">
        <v>102</v>
      </c>
      <c r="C147" s="15"/>
      <c r="D147" s="15"/>
      <c r="E147" s="9"/>
      <c r="F147" s="9"/>
      <c r="G147" s="9"/>
      <c r="H147" s="9"/>
      <c r="I147" s="9"/>
      <c r="J147" s="9"/>
      <c r="K147" s="9"/>
      <c r="L147" s="9"/>
      <c r="M147" s="64"/>
      <c r="N147" s="9"/>
      <c r="O147" s="6"/>
    </row>
    <row r="148" spans="1:18" ht="15.75">
      <c r="A148" s="28"/>
      <c r="B148" s="29" t="s">
        <v>103</v>
      </c>
      <c r="C148" s="87"/>
      <c r="D148" s="87"/>
      <c r="E148" s="29"/>
      <c r="F148" s="29"/>
      <c r="G148" s="29"/>
      <c r="H148" s="29"/>
      <c r="I148" s="29"/>
      <c r="J148" s="29"/>
      <c r="K148" s="29"/>
      <c r="L148" s="29"/>
      <c r="M148" s="66">
        <f>M68+M61</f>
        <v>184610</v>
      </c>
      <c r="N148" s="29"/>
      <c r="O148" s="6"/>
      <c r="R148" s="132"/>
    </row>
    <row r="149" spans="1:15" ht="15.75">
      <c r="A149" s="28"/>
      <c r="B149" s="29" t="s">
        <v>104</v>
      </c>
      <c r="C149" s="87"/>
      <c r="D149" s="87"/>
      <c r="E149" s="29"/>
      <c r="F149" s="29"/>
      <c r="G149" s="29"/>
      <c r="H149" s="29"/>
      <c r="I149" s="29"/>
      <c r="J149" s="29"/>
      <c r="K149" s="29"/>
      <c r="L149" s="29"/>
      <c r="M149" s="66">
        <f>M72</f>
        <v>2861</v>
      </c>
      <c r="N149" s="29"/>
      <c r="O149" s="6"/>
    </row>
    <row r="150" spans="1:15" ht="15.75">
      <c r="A150" s="28"/>
      <c r="B150" s="29" t="s">
        <v>50</v>
      </c>
      <c r="C150" s="87"/>
      <c r="D150" s="87"/>
      <c r="E150" s="29"/>
      <c r="F150" s="29"/>
      <c r="G150" s="29"/>
      <c r="H150" s="29"/>
      <c r="I150" s="29"/>
      <c r="J150" s="29"/>
      <c r="K150" s="29"/>
      <c r="L150" s="29"/>
      <c r="M150" s="66">
        <f>M71</f>
        <v>2926</v>
      </c>
      <c r="N150" s="29"/>
      <c r="O150" s="6"/>
    </row>
    <row r="151" spans="1:16" ht="15.75">
      <c r="A151" s="28"/>
      <c r="B151" s="29" t="s">
        <v>105</v>
      </c>
      <c r="C151" s="87"/>
      <c r="D151" s="87"/>
      <c r="E151" s="29"/>
      <c r="F151" s="29"/>
      <c r="G151" s="29"/>
      <c r="H151" s="29"/>
      <c r="I151" s="29"/>
      <c r="J151" s="29"/>
      <c r="K151" s="29"/>
      <c r="L151" s="29"/>
      <c r="M151" s="66">
        <f>M74</f>
        <v>-95</v>
      </c>
      <c r="N151" s="29"/>
      <c r="O151" s="6"/>
      <c r="P151" s="132"/>
    </row>
    <row r="152" spans="1:15" ht="15.75">
      <c r="A152" s="28"/>
      <c r="B152" s="29" t="s">
        <v>106</v>
      </c>
      <c r="C152" s="87"/>
      <c r="D152" s="87"/>
      <c r="E152" s="29"/>
      <c r="F152" s="29"/>
      <c r="G152" s="29"/>
      <c r="H152" s="29"/>
      <c r="I152" s="29"/>
      <c r="J152" s="29"/>
      <c r="K152" s="29"/>
      <c r="L152" s="29"/>
      <c r="M152" s="66">
        <f>M73</f>
        <v>7622</v>
      </c>
      <c r="N152" s="29"/>
      <c r="O152" s="6"/>
    </row>
    <row r="153" spans="1:15" ht="15.75">
      <c r="A153" s="28"/>
      <c r="B153" s="29" t="s">
        <v>107</v>
      </c>
      <c r="C153" s="87"/>
      <c r="D153" s="87"/>
      <c r="E153" s="29"/>
      <c r="F153" s="29"/>
      <c r="G153" s="29"/>
      <c r="H153" s="29"/>
      <c r="I153" s="29"/>
      <c r="J153" s="29"/>
      <c r="K153" s="29"/>
      <c r="L153" s="29"/>
      <c r="M153" s="66">
        <f>SUM(M148:M152)</f>
        <v>197924</v>
      </c>
      <c r="N153" s="29"/>
      <c r="O153" s="133"/>
    </row>
    <row r="154" spans="1:19" ht="15.75">
      <c r="A154" s="28"/>
      <c r="B154" s="29" t="s">
        <v>108</v>
      </c>
      <c r="C154" s="87"/>
      <c r="D154" s="87"/>
      <c r="E154" s="29"/>
      <c r="F154" s="29"/>
      <c r="G154" s="29"/>
      <c r="H154" s="29"/>
      <c r="I154" s="29"/>
      <c r="J154" s="29"/>
      <c r="K154" s="29"/>
      <c r="L154" s="29"/>
      <c r="M154" s="66">
        <f>M30</f>
        <v>194998</v>
      </c>
      <c r="N154" s="29"/>
      <c r="O154" s="6"/>
      <c r="P154" s="132"/>
      <c r="R154" s="132"/>
      <c r="S154" s="132"/>
    </row>
    <row r="155" spans="1:15" ht="15.75">
      <c r="A155" s="28"/>
      <c r="B155" s="29"/>
      <c r="C155" s="29"/>
      <c r="D155" s="29"/>
      <c r="E155" s="29"/>
      <c r="F155" s="29"/>
      <c r="G155" s="29"/>
      <c r="H155" s="29"/>
      <c r="I155" s="29"/>
      <c r="J155" s="29"/>
      <c r="K155" s="29"/>
      <c r="L155" s="29"/>
      <c r="M155" s="82"/>
      <c r="N155" s="29"/>
      <c r="O155" s="6"/>
    </row>
    <row r="156" spans="1:15" ht="15.75">
      <c r="A156" s="7"/>
      <c r="B156" s="9"/>
      <c r="C156" s="9"/>
      <c r="D156" s="9"/>
      <c r="E156" s="9"/>
      <c r="F156" s="9"/>
      <c r="G156" s="9"/>
      <c r="H156" s="9"/>
      <c r="I156" s="25"/>
      <c r="J156" s="9"/>
      <c r="K156" s="25"/>
      <c r="L156" s="9"/>
      <c r="M156" s="64"/>
      <c r="N156" s="9"/>
      <c r="O156" s="6"/>
    </row>
    <row r="157" spans="1:15" ht="15.75">
      <c r="A157" s="7"/>
      <c r="B157" s="158" t="s">
        <v>109</v>
      </c>
      <c r="C157" s="144"/>
      <c r="D157" s="144"/>
      <c r="E157" s="144"/>
      <c r="F157" s="144"/>
      <c r="G157" s="144"/>
      <c r="H157" s="144"/>
      <c r="I157" s="159" t="s">
        <v>205</v>
      </c>
      <c r="J157" s="159"/>
      <c r="K157" s="159" t="s">
        <v>210</v>
      </c>
      <c r="L157" s="144"/>
      <c r="M157" s="160" t="s">
        <v>192</v>
      </c>
      <c r="N157" s="161"/>
      <c r="O157" s="6"/>
    </row>
    <row r="158" spans="1:15" ht="15.75">
      <c r="A158" s="28"/>
      <c r="B158" s="29" t="s">
        <v>110</v>
      </c>
      <c r="C158" s="29"/>
      <c r="D158" s="29"/>
      <c r="E158" s="29"/>
      <c r="F158" s="29"/>
      <c r="G158" s="29"/>
      <c r="H158" s="29"/>
      <c r="I158" s="66"/>
      <c r="J158" s="29"/>
      <c r="K158" s="53"/>
      <c r="L158" s="29"/>
      <c r="M158" s="66"/>
      <c r="N158" s="29"/>
      <c r="O158" s="6"/>
    </row>
    <row r="159" spans="1:15" ht="15.75">
      <c r="A159" s="28"/>
      <c r="B159" s="29" t="s">
        <v>111</v>
      </c>
      <c r="C159" s="29"/>
      <c r="D159" s="29"/>
      <c r="E159" s="29"/>
      <c r="F159" s="29"/>
      <c r="G159" s="29"/>
      <c r="H159" s="29"/>
      <c r="I159" s="66">
        <f>+'July 2003'!I161</f>
        <v>132</v>
      </c>
      <c r="J159" s="29"/>
      <c r="K159" s="29"/>
      <c r="L159" s="29"/>
      <c r="M159" s="66" t="s">
        <v>224</v>
      </c>
      <c r="N159" s="29"/>
      <c r="O159" s="6"/>
    </row>
    <row r="160" spans="1:15" ht="15.75">
      <c r="A160" s="28"/>
      <c r="B160" s="29" t="s">
        <v>112</v>
      </c>
      <c r="C160" s="29"/>
      <c r="D160" s="29"/>
      <c r="E160" s="29"/>
      <c r="F160" s="29"/>
      <c r="G160" s="29"/>
      <c r="H160" s="29"/>
      <c r="I160" s="66">
        <v>3</v>
      </c>
      <c r="J160" s="29"/>
      <c r="K160" s="29"/>
      <c r="L160" s="29"/>
      <c r="M160" s="66" t="s">
        <v>224</v>
      </c>
      <c r="N160" s="29"/>
      <c r="O160" s="6"/>
    </row>
    <row r="161" spans="1:15" ht="15.75">
      <c r="A161" s="28"/>
      <c r="B161" s="29" t="s">
        <v>113</v>
      </c>
      <c r="C161" s="29"/>
      <c r="D161" s="29"/>
      <c r="E161" s="29"/>
      <c r="F161" s="29"/>
      <c r="G161" s="29"/>
      <c r="H161" s="29"/>
      <c r="I161" s="66">
        <f>SUM(I159:I160)</f>
        <v>135</v>
      </c>
      <c r="J161" s="29"/>
      <c r="K161" s="66"/>
      <c r="L161" s="29"/>
      <c r="M161" s="66" t="s">
        <v>224</v>
      </c>
      <c r="N161" s="29"/>
      <c r="O161" s="6"/>
    </row>
    <row r="162" spans="1:15" ht="15.75">
      <c r="A162" s="28"/>
      <c r="B162" s="29" t="s">
        <v>114</v>
      </c>
      <c r="C162" s="29"/>
      <c r="D162" s="29"/>
      <c r="E162" s="29"/>
      <c r="F162" s="29"/>
      <c r="G162" s="29"/>
      <c r="H162" s="29"/>
      <c r="I162" s="66"/>
      <c r="J162" s="29"/>
      <c r="K162" s="53"/>
      <c r="L162" s="29"/>
      <c r="M162" s="66"/>
      <c r="N162" s="29"/>
      <c r="O162" s="6"/>
    </row>
    <row r="163" spans="1:15" ht="15.75">
      <c r="A163" s="28"/>
      <c r="B163" s="29"/>
      <c r="C163" s="29"/>
      <c r="D163" s="29"/>
      <c r="E163" s="29"/>
      <c r="F163" s="29"/>
      <c r="G163" s="29"/>
      <c r="H163" s="29"/>
      <c r="I163" s="29"/>
      <c r="J163" s="29"/>
      <c r="K163" s="29"/>
      <c r="L163" s="29"/>
      <c r="M163" s="82"/>
      <c r="N163" s="29"/>
      <c r="O163" s="6"/>
    </row>
    <row r="164" spans="1:15" ht="15.75">
      <c r="A164" s="7"/>
      <c r="B164" s="9"/>
      <c r="C164" s="9"/>
      <c r="D164" s="9"/>
      <c r="E164" s="9"/>
      <c r="F164" s="9"/>
      <c r="G164" s="9"/>
      <c r="H164" s="9"/>
      <c r="I164" s="9"/>
      <c r="J164" s="9"/>
      <c r="K164" s="9"/>
      <c r="L164" s="9"/>
      <c r="M164" s="64"/>
      <c r="N164" s="9"/>
      <c r="O164" s="6"/>
    </row>
    <row r="165" spans="1:15" ht="15.75">
      <c r="A165" s="7"/>
      <c r="B165" s="158" t="s">
        <v>115</v>
      </c>
      <c r="C165" s="15"/>
      <c r="D165" s="15"/>
      <c r="E165" s="9"/>
      <c r="F165" s="9"/>
      <c r="G165" s="9"/>
      <c r="H165" s="9"/>
      <c r="I165" s="9"/>
      <c r="J165" s="9"/>
      <c r="K165" s="9"/>
      <c r="L165" s="9"/>
      <c r="M165" s="88"/>
      <c r="N165" s="9"/>
      <c r="O165" s="6"/>
    </row>
    <row r="166" spans="1:15" ht="15.75">
      <c r="A166" s="28"/>
      <c r="B166" s="29" t="s">
        <v>116</v>
      </c>
      <c r="C166" s="29"/>
      <c r="D166" s="29"/>
      <c r="E166" s="29"/>
      <c r="F166" s="29"/>
      <c r="G166" s="29"/>
      <c r="H166" s="29"/>
      <c r="I166" s="29"/>
      <c r="J166" s="29"/>
      <c r="K166" s="29"/>
      <c r="L166" s="29"/>
      <c r="M166" s="73">
        <f>(M88+M90+M91+M93)/-M92</f>
        <v>3.560903149138443</v>
      </c>
      <c r="N166" s="29" t="s">
        <v>225</v>
      </c>
      <c r="O166" s="6"/>
    </row>
    <row r="167" spans="1:15" ht="15.75">
      <c r="A167" s="28"/>
      <c r="B167" s="29" t="s">
        <v>117</v>
      </c>
      <c r="C167" s="29"/>
      <c r="D167" s="29"/>
      <c r="E167" s="29"/>
      <c r="F167" s="29"/>
      <c r="G167" s="29"/>
      <c r="H167" s="29"/>
      <c r="I167" s="29"/>
      <c r="J167" s="29"/>
      <c r="K167" s="29"/>
      <c r="L167" s="29"/>
      <c r="M167" s="89">
        <v>3.01</v>
      </c>
      <c r="N167" s="29" t="s">
        <v>225</v>
      </c>
      <c r="O167" s="6"/>
    </row>
    <row r="168" spans="1:15" ht="15.75">
      <c r="A168" s="28"/>
      <c r="B168" s="29" t="s">
        <v>118</v>
      </c>
      <c r="C168" s="29"/>
      <c r="D168" s="29"/>
      <c r="E168" s="29"/>
      <c r="F168" s="29"/>
      <c r="G168" s="29"/>
      <c r="H168" s="29"/>
      <c r="I168" s="29"/>
      <c r="J168" s="29"/>
      <c r="K168" s="29"/>
      <c r="L168" s="29"/>
      <c r="M168" s="73">
        <f>(M88+M90+M91+M92+M93+M94)/-M95</f>
        <v>23.524590163934427</v>
      </c>
      <c r="N168" s="29" t="s">
        <v>225</v>
      </c>
      <c r="O168" s="6"/>
    </row>
    <row r="169" spans="1:15" ht="15.75">
      <c r="A169" s="28"/>
      <c r="B169" s="29" t="s">
        <v>119</v>
      </c>
      <c r="C169" s="29"/>
      <c r="D169" s="29"/>
      <c r="E169" s="29"/>
      <c r="F169" s="29"/>
      <c r="G169" s="29"/>
      <c r="H169" s="29"/>
      <c r="I169" s="29"/>
      <c r="J169" s="29"/>
      <c r="K169" s="29"/>
      <c r="L169" s="29"/>
      <c r="M169" s="90">
        <v>18.78</v>
      </c>
      <c r="N169" s="29" t="s">
        <v>225</v>
      </c>
      <c r="O169" s="6"/>
    </row>
    <row r="170" spans="1:15" ht="15.75">
      <c r="A170" s="28"/>
      <c r="B170" s="29" t="s">
        <v>120</v>
      </c>
      <c r="C170" s="29"/>
      <c r="D170" s="29"/>
      <c r="E170" s="29"/>
      <c r="F170" s="29"/>
      <c r="G170" s="29"/>
      <c r="H170" s="29"/>
      <c r="I170" s="29"/>
      <c r="J170" s="29"/>
      <c r="K170" s="29"/>
      <c r="L170" s="29"/>
      <c r="M170" s="73">
        <f>(M88+M90+M91+M92+M93+M94+M95)/-M96</f>
        <v>30.992481203007518</v>
      </c>
      <c r="N170" s="29" t="s">
        <v>225</v>
      </c>
      <c r="O170" s="6"/>
    </row>
    <row r="171" spans="1:15" ht="15.75">
      <c r="A171" s="28"/>
      <c r="B171" s="29" t="s">
        <v>121</v>
      </c>
      <c r="C171" s="29"/>
      <c r="D171" s="29"/>
      <c r="E171" s="29"/>
      <c r="F171" s="29"/>
      <c r="G171" s="29"/>
      <c r="H171" s="29"/>
      <c r="I171" s="29"/>
      <c r="J171" s="29"/>
      <c r="K171" s="29"/>
      <c r="L171" s="29"/>
      <c r="M171" s="89">
        <v>25.37</v>
      </c>
      <c r="N171" s="29" t="s">
        <v>225</v>
      </c>
      <c r="O171" s="6"/>
    </row>
    <row r="172" spans="1:15" ht="15.75">
      <c r="A172" s="28"/>
      <c r="B172" s="29"/>
      <c r="C172" s="29"/>
      <c r="D172" s="29"/>
      <c r="E172" s="29"/>
      <c r="F172" s="29"/>
      <c r="G172" s="29"/>
      <c r="H172" s="29"/>
      <c r="I172" s="29"/>
      <c r="J172" s="29"/>
      <c r="K172" s="29"/>
      <c r="L172" s="29"/>
      <c r="M172" s="29"/>
      <c r="N172" s="29"/>
      <c r="O172" s="6"/>
    </row>
    <row r="173" spans="1:15" ht="15.75">
      <c r="A173" s="7"/>
      <c r="B173" s="9"/>
      <c r="C173" s="9"/>
      <c r="D173" s="9"/>
      <c r="E173" s="9"/>
      <c r="F173" s="9"/>
      <c r="G173" s="9"/>
      <c r="H173" s="9"/>
      <c r="I173" s="9"/>
      <c r="J173" s="9"/>
      <c r="K173" s="9"/>
      <c r="L173" s="9"/>
      <c r="M173" s="9"/>
      <c r="N173" s="9"/>
      <c r="O173" s="6"/>
    </row>
    <row r="174" spans="1:15" ht="16.5" thickBot="1">
      <c r="A174" s="134"/>
      <c r="B174" s="135" t="str">
        <f>B116</f>
        <v>PASF1 INVESTOR REPORT QUARTER ENDING OCTOBER 2003</v>
      </c>
      <c r="C174" s="136"/>
      <c r="D174" s="136"/>
      <c r="E174" s="136"/>
      <c r="F174" s="136"/>
      <c r="G174" s="136"/>
      <c r="H174" s="136"/>
      <c r="I174" s="136"/>
      <c r="J174" s="136"/>
      <c r="K174" s="136"/>
      <c r="L174" s="136"/>
      <c r="M174" s="136"/>
      <c r="N174" s="138"/>
      <c r="O174" s="6"/>
    </row>
    <row r="175" spans="1:15" ht="15.75">
      <c r="A175" s="2"/>
      <c r="B175" s="91"/>
      <c r="C175" s="91"/>
      <c r="D175" s="91"/>
      <c r="E175" s="91"/>
      <c r="F175" s="91"/>
      <c r="G175" s="91"/>
      <c r="H175" s="91"/>
      <c r="I175" s="91"/>
      <c r="J175" s="91"/>
      <c r="K175" s="91"/>
      <c r="L175" s="91"/>
      <c r="M175" s="91"/>
      <c r="N175" s="91"/>
      <c r="O175" s="6"/>
    </row>
    <row r="176" spans="1:15" ht="15.75">
      <c r="A176" s="92"/>
      <c r="B176" s="63" t="s">
        <v>122</v>
      </c>
      <c r="C176" s="93"/>
      <c r="D176" s="93"/>
      <c r="E176" s="93" t="s">
        <v>178</v>
      </c>
      <c r="F176" s="93"/>
      <c r="G176" s="94" t="s">
        <v>181</v>
      </c>
      <c r="H176" s="94"/>
      <c r="I176" s="94"/>
      <c r="J176" s="22"/>
      <c r="K176" s="22">
        <v>37925</v>
      </c>
      <c r="L176" s="18"/>
      <c r="M176" s="18"/>
      <c r="N176" s="9"/>
      <c r="O176" s="6"/>
    </row>
    <row r="177" spans="1:15" ht="15.75">
      <c r="A177" s="95"/>
      <c r="B177" s="74" t="s">
        <v>123</v>
      </c>
      <c r="C177" s="96"/>
      <c r="D177" s="96"/>
      <c r="E177" s="97">
        <v>0.12505</v>
      </c>
      <c r="F177" s="96"/>
      <c r="G177" s="97">
        <v>0.13752</v>
      </c>
      <c r="H177" s="86"/>
      <c r="I177" s="86"/>
      <c r="J177" s="86"/>
      <c r="K177" s="97">
        <v>0.13157</v>
      </c>
      <c r="L177" s="29"/>
      <c r="M177" s="29"/>
      <c r="N177" s="29"/>
      <c r="O177" s="6"/>
    </row>
    <row r="178" spans="1:15" ht="15.75">
      <c r="A178" s="95"/>
      <c r="B178" s="74" t="s">
        <v>124</v>
      </c>
      <c r="C178" s="96"/>
      <c r="D178" s="96"/>
      <c r="E178" s="97"/>
      <c r="F178" s="96"/>
      <c r="G178" s="97"/>
      <c r="H178" s="86"/>
      <c r="I178" s="86"/>
      <c r="J178" s="86"/>
      <c r="K178" s="97">
        <v>0.0654</v>
      </c>
      <c r="L178" s="97"/>
      <c r="M178" s="29"/>
      <c r="N178" s="29"/>
      <c r="O178" s="6"/>
    </row>
    <row r="179" spans="1:15" ht="15.75">
      <c r="A179" s="95"/>
      <c r="B179" s="74" t="s">
        <v>125</v>
      </c>
      <c r="C179" s="96"/>
      <c r="D179" s="96"/>
      <c r="E179" s="96"/>
      <c r="F179" s="96"/>
      <c r="G179" s="96"/>
      <c r="H179" s="86"/>
      <c r="I179" s="86"/>
      <c r="J179" s="86"/>
      <c r="K179" s="97">
        <f>K177-K178</f>
        <v>0.06616999999999999</v>
      </c>
      <c r="L179" s="29"/>
      <c r="M179" s="29"/>
      <c r="N179" s="29"/>
      <c r="O179" s="6"/>
    </row>
    <row r="180" spans="1:15" ht="15.75">
      <c r="A180" s="95"/>
      <c r="B180" s="74" t="s">
        <v>126</v>
      </c>
      <c r="C180" s="96"/>
      <c r="D180" s="96"/>
      <c r="E180" s="98">
        <v>0.0952</v>
      </c>
      <c r="F180" s="98"/>
      <c r="G180" s="98">
        <v>0.1061</v>
      </c>
      <c r="H180" s="86"/>
      <c r="I180" s="86"/>
      <c r="J180" s="86"/>
      <c r="K180" s="97">
        <v>0.0999</v>
      </c>
      <c r="L180" s="29"/>
      <c r="M180" s="29"/>
      <c r="N180" s="29"/>
      <c r="O180" s="6"/>
    </row>
    <row r="181" spans="1:15" ht="15.75">
      <c r="A181" s="95"/>
      <c r="B181" s="74" t="s">
        <v>127</v>
      </c>
      <c r="C181" s="96"/>
      <c r="D181" s="96"/>
      <c r="E181" s="96"/>
      <c r="F181" s="96"/>
      <c r="G181" s="96"/>
      <c r="H181" s="86"/>
      <c r="I181" s="86"/>
      <c r="J181" s="86"/>
      <c r="K181" s="97">
        <f>M32</f>
        <v>0.039823869988410136</v>
      </c>
      <c r="L181" s="29"/>
      <c r="M181" s="29"/>
      <c r="N181" s="29"/>
      <c r="O181" s="6"/>
    </row>
    <row r="182" spans="1:15" ht="15.75">
      <c r="A182" s="95"/>
      <c r="B182" s="74" t="s">
        <v>128</v>
      </c>
      <c r="C182" s="96"/>
      <c r="D182" s="96"/>
      <c r="E182" s="96"/>
      <c r="F182" s="96"/>
      <c r="G182" s="96"/>
      <c r="H182" s="86"/>
      <c r="I182" s="86"/>
      <c r="J182" s="86"/>
      <c r="K182" s="97">
        <f>K180-K181</f>
        <v>0.060076130011589866</v>
      </c>
      <c r="L182" s="29"/>
      <c r="M182" s="29"/>
      <c r="N182" s="29"/>
      <c r="O182" s="6"/>
    </row>
    <row r="183" spans="1:15" ht="15.75">
      <c r="A183" s="95"/>
      <c r="B183" s="74" t="s">
        <v>129</v>
      </c>
      <c r="C183" s="96"/>
      <c r="D183" s="96"/>
      <c r="E183" s="96"/>
      <c r="F183" s="96"/>
      <c r="G183" s="96"/>
      <c r="H183" s="86"/>
      <c r="I183" s="86"/>
      <c r="J183" s="86"/>
      <c r="K183" s="97" t="s">
        <v>211</v>
      </c>
      <c r="L183" s="29"/>
      <c r="M183" s="29"/>
      <c r="N183" s="29"/>
      <c r="O183" s="6"/>
    </row>
    <row r="184" spans="1:15" ht="15.75">
      <c r="A184" s="95"/>
      <c r="B184" s="74" t="s">
        <v>130</v>
      </c>
      <c r="C184" s="96"/>
      <c r="D184" s="96"/>
      <c r="E184" s="96"/>
      <c r="F184" s="96"/>
      <c r="G184" s="96"/>
      <c r="H184" s="86"/>
      <c r="I184" s="86"/>
      <c r="J184" s="86"/>
      <c r="K184" s="97" t="s">
        <v>212</v>
      </c>
      <c r="L184" s="29"/>
      <c r="M184" s="29"/>
      <c r="N184" s="29"/>
      <c r="O184" s="6"/>
    </row>
    <row r="185" spans="1:15" ht="15.75">
      <c r="A185" s="95"/>
      <c r="B185" s="74" t="s">
        <v>131</v>
      </c>
      <c r="C185" s="96"/>
      <c r="D185" s="96"/>
      <c r="E185" s="99">
        <v>9.94</v>
      </c>
      <c r="F185" s="96"/>
      <c r="G185" s="99">
        <v>3.91</v>
      </c>
      <c r="H185" s="86"/>
      <c r="I185" s="86"/>
      <c r="J185" s="86"/>
      <c r="K185" s="100">
        <v>6.791</v>
      </c>
      <c r="L185" s="29"/>
      <c r="M185" s="29"/>
      <c r="N185" s="29"/>
      <c r="O185" s="6"/>
    </row>
    <row r="186" spans="1:15" ht="15.75">
      <c r="A186" s="95"/>
      <c r="B186" s="74" t="s">
        <v>132</v>
      </c>
      <c r="C186" s="96"/>
      <c r="D186" s="96"/>
      <c r="E186" s="101">
        <v>13.595</v>
      </c>
      <c r="F186" s="99"/>
      <c r="G186" s="99">
        <v>2.82</v>
      </c>
      <c r="H186" s="86"/>
      <c r="I186" s="86"/>
      <c r="J186" s="86"/>
      <c r="K186" s="100">
        <v>8.93</v>
      </c>
      <c r="L186" s="29"/>
      <c r="M186" s="29"/>
      <c r="N186" s="29"/>
      <c r="O186" s="6"/>
    </row>
    <row r="187" spans="1:15" ht="15.75">
      <c r="A187" s="95"/>
      <c r="B187" s="74" t="s">
        <v>231</v>
      </c>
      <c r="C187" s="96"/>
      <c r="D187" s="96"/>
      <c r="E187" s="101"/>
      <c r="F187" s="99"/>
      <c r="G187" s="99"/>
      <c r="H187" s="86"/>
      <c r="I187" s="86"/>
      <c r="J187" s="86"/>
      <c r="K187" s="97">
        <v>0.0484</v>
      </c>
      <c r="L187" s="29"/>
      <c r="M187" s="29"/>
      <c r="N187" s="29"/>
      <c r="O187" s="6"/>
    </row>
    <row r="188" spans="1:15" ht="15.75">
      <c r="A188" s="95"/>
      <c r="B188" s="74" t="s">
        <v>232</v>
      </c>
      <c r="C188" s="96"/>
      <c r="D188" s="96"/>
      <c r="E188" s="101"/>
      <c r="F188" s="99"/>
      <c r="G188" s="99"/>
      <c r="H188" s="86"/>
      <c r="I188" s="86"/>
      <c r="J188" s="86"/>
      <c r="K188" s="97">
        <v>0.1841</v>
      </c>
      <c r="L188" s="29"/>
      <c r="M188" s="29"/>
      <c r="N188" s="29"/>
      <c r="O188" s="6"/>
    </row>
    <row r="189" spans="1:15" ht="15.75">
      <c r="A189" s="95"/>
      <c r="B189" s="74" t="s">
        <v>233</v>
      </c>
      <c r="C189" s="96"/>
      <c r="D189" s="96"/>
      <c r="E189" s="101"/>
      <c r="F189" s="99"/>
      <c r="G189" s="99"/>
      <c r="H189" s="86"/>
      <c r="I189" s="86"/>
      <c r="J189" s="86"/>
      <c r="K189" s="97">
        <v>0.1276</v>
      </c>
      <c r="L189" s="29"/>
      <c r="M189" s="29"/>
      <c r="N189" s="29"/>
      <c r="O189" s="6"/>
    </row>
    <row r="190" spans="1:15" ht="15.75">
      <c r="A190" s="95"/>
      <c r="B190" s="74" t="s">
        <v>234</v>
      </c>
      <c r="C190" s="96"/>
      <c r="D190" s="96"/>
      <c r="E190" s="101"/>
      <c r="F190" s="99"/>
      <c r="G190" s="99"/>
      <c r="H190" s="86"/>
      <c r="I190" s="86"/>
      <c r="J190" s="86"/>
      <c r="K190" s="97">
        <v>0.3336</v>
      </c>
      <c r="L190" s="29"/>
      <c r="M190" s="29"/>
      <c r="N190" s="29"/>
      <c r="O190" s="6"/>
    </row>
    <row r="191" spans="1:15" ht="15.75">
      <c r="A191" s="95"/>
      <c r="B191" s="74"/>
      <c r="C191" s="74"/>
      <c r="D191" s="74"/>
      <c r="E191" s="74"/>
      <c r="F191" s="74"/>
      <c r="G191" s="74"/>
      <c r="H191" s="29"/>
      <c r="I191" s="29"/>
      <c r="J191" s="37"/>
      <c r="K191" s="102"/>
      <c r="L191" s="29"/>
      <c r="M191" s="103"/>
      <c r="N191" s="29"/>
      <c r="O191" s="6"/>
    </row>
    <row r="192" spans="1:15" ht="15.75">
      <c r="A192" s="104"/>
      <c r="B192" s="17" t="s">
        <v>134</v>
      </c>
      <c r="C192" s="20"/>
      <c r="D192" s="20"/>
      <c r="E192" s="105"/>
      <c r="F192" s="20"/>
      <c r="G192" s="105"/>
      <c r="H192" s="20"/>
      <c r="I192" s="105"/>
      <c r="J192" s="20" t="s">
        <v>206</v>
      </c>
      <c r="K192" s="105" t="s">
        <v>213</v>
      </c>
      <c r="L192" s="18"/>
      <c r="M192" s="18"/>
      <c r="N192" s="9"/>
      <c r="O192" s="6"/>
    </row>
    <row r="193" spans="1:15" ht="15.75">
      <c r="A193" s="106"/>
      <c r="B193" s="74" t="s">
        <v>135</v>
      </c>
      <c r="C193" s="67"/>
      <c r="D193" s="67"/>
      <c r="E193" s="67"/>
      <c r="F193" s="67"/>
      <c r="G193" s="29"/>
      <c r="H193" s="29"/>
      <c r="I193" s="29"/>
      <c r="J193" s="29">
        <v>111</v>
      </c>
      <c r="K193" s="66">
        <v>653</v>
      </c>
      <c r="L193" s="66"/>
      <c r="M193" s="103"/>
      <c r="N193" s="107"/>
      <c r="O193" s="6"/>
    </row>
    <row r="194" spans="1:15" ht="15.75">
      <c r="A194" s="106"/>
      <c r="B194" s="74" t="s">
        <v>136</v>
      </c>
      <c r="C194" s="67"/>
      <c r="D194" s="67"/>
      <c r="E194" s="67"/>
      <c r="F194" s="67"/>
      <c r="G194" s="29"/>
      <c r="H194" s="29"/>
      <c r="I194" s="29"/>
      <c r="J194" s="29">
        <v>8</v>
      </c>
      <c r="K194" s="66">
        <v>102</v>
      </c>
      <c r="L194" s="66"/>
      <c r="M194" s="103"/>
      <c r="N194" s="107"/>
      <c r="O194" s="6"/>
    </row>
    <row r="195" spans="1:15" ht="15.75">
      <c r="A195" s="106"/>
      <c r="B195" s="74"/>
      <c r="C195" s="67"/>
      <c r="D195" s="67"/>
      <c r="E195" s="67"/>
      <c r="F195" s="67"/>
      <c r="G195" s="29"/>
      <c r="H195" s="29"/>
      <c r="I195" s="29"/>
      <c r="J195" s="29"/>
      <c r="K195" s="66"/>
      <c r="L195" s="66"/>
      <c r="M195" s="103"/>
      <c r="N195" s="107"/>
      <c r="O195" s="6"/>
    </row>
    <row r="196" spans="1:15" ht="15.75">
      <c r="A196" s="106"/>
      <c r="B196" s="74" t="s">
        <v>137</v>
      </c>
      <c r="C196" s="67"/>
      <c r="D196" s="67"/>
      <c r="E196" s="67"/>
      <c r="F196" s="67"/>
      <c r="G196" s="29"/>
      <c r="H196" s="29"/>
      <c r="I196" s="29"/>
      <c r="J196" s="29">
        <v>101</v>
      </c>
      <c r="K196" s="66">
        <v>1615</v>
      </c>
      <c r="L196" s="66"/>
      <c r="M196" s="103"/>
      <c r="N196" s="107"/>
      <c r="O196" s="6"/>
    </row>
    <row r="197" spans="1:15" ht="15.75">
      <c r="A197" s="106"/>
      <c r="B197" s="74" t="s">
        <v>138</v>
      </c>
      <c r="C197" s="67"/>
      <c r="D197" s="67"/>
      <c r="E197" s="67"/>
      <c r="F197" s="67"/>
      <c r="G197" s="29"/>
      <c r="H197" s="29"/>
      <c r="I197" s="29"/>
      <c r="J197" s="29">
        <v>4</v>
      </c>
      <c r="K197" s="66">
        <v>64</v>
      </c>
      <c r="L197" s="66"/>
      <c r="M197" s="103"/>
      <c r="N197" s="107"/>
      <c r="O197" s="6"/>
    </row>
    <row r="198" spans="1:15" ht="15.75">
      <c r="A198" s="106"/>
      <c r="B198" s="74"/>
      <c r="C198" s="67"/>
      <c r="D198" s="67"/>
      <c r="E198" s="67"/>
      <c r="F198" s="67"/>
      <c r="G198" s="29"/>
      <c r="H198" s="29"/>
      <c r="I198" s="29"/>
      <c r="J198" s="29"/>
      <c r="K198" s="66"/>
      <c r="L198" s="66"/>
      <c r="M198" s="103"/>
      <c r="N198" s="107"/>
      <c r="O198" s="6"/>
    </row>
    <row r="199" spans="1:15" ht="15.75">
      <c r="A199" s="106"/>
      <c r="B199" s="162" t="s">
        <v>139</v>
      </c>
      <c r="C199" s="67"/>
      <c r="D199" s="67"/>
      <c r="E199" s="67"/>
      <c r="F199" s="67"/>
      <c r="G199" s="29"/>
      <c r="H199" s="29"/>
      <c r="I199" s="29"/>
      <c r="J199" s="29"/>
      <c r="K199" s="73" t="s">
        <v>214</v>
      </c>
      <c r="L199" s="29"/>
      <c r="M199" s="103"/>
      <c r="N199" s="107"/>
      <c r="O199" s="6"/>
    </row>
    <row r="200" spans="1:15" ht="15.75">
      <c r="A200" s="106"/>
      <c r="B200" s="162" t="s">
        <v>140</v>
      </c>
      <c r="C200" s="67"/>
      <c r="D200" s="67"/>
      <c r="E200" s="67"/>
      <c r="F200" s="67"/>
      <c r="G200" s="29"/>
      <c r="H200" s="29"/>
      <c r="I200" s="29"/>
      <c r="J200" s="29"/>
      <c r="K200" s="66">
        <f>-I72</f>
        <v>47880</v>
      </c>
      <c r="L200" s="29"/>
      <c r="M200" s="103"/>
      <c r="N200" s="107"/>
      <c r="O200" s="6"/>
    </row>
    <row r="201" spans="1:15" ht="15.75">
      <c r="A201" s="108"/>
      <c r="B201" s="162" t="s">
        <v>141</v>
      </c>
      <c r="C201" s="67"/>
      <c r="D201" s="67"/>
      <c r="E201" s="74"/>
      <c r="F201" s="74"/>
      <c r="G201" s="74"/>
      <c r="H201" s="29"/>
      <c r="I201" s="29"/>
      <c r="J201" s="29"/>
      <c r="K201" s="73"/>
      <c r="L201" s="29"/>
      <c r="M201" s="103"/>
      <c r="N201" s="109"/>
      <c r="O201" s="6"/>
    </row>
    <row r="202" spans="1:15" ht="15.75">
      <c r="A202" s="108"/>
      <c r="B202" s="74" t="s">
        <v>142</v>
      </c>
      <c r="C202" s="67"/>
      <c r="D202" s="67"/>
      <c r="E202" s="74"/>
      <c r="F202" s="74"/>
      <c r="G202" s="74"/>
      <c r="H202" s="29"/>
      <c r="I202" s="29"/>
      <c r="J202" s="29"/>
      <c r="K202" s="89">
        <f>I142</f>
        <v>754</v>
      </c>
      <c r="L202" s="29"/>
      <c r="M202" s="103"/>
      <c r="N202" s="109"/>
      <c r="O202" s="6"/>
    </row>
    <row r="203" spans="1:15" ht="15.75">
      <c r="A203" s="108"/>
      <c r="B203" s="74" t="s">
        <v>143</v>
      </c>
      <c r="C203" s="67"/>
      <c r="D203" s="67"/>
      <c r="E203" s="74"/>
      <c r="F203" s="74"/>
      <c r="G203" s="74"/>
      <c r="H203" s="29"/>
      <c r="I203" s="29"/>
      <c r="J203" s="29"/>
      <c r="K203" s="89">
        <f>+'July 2003'!K203+'Oct 2003'!K202</f>
        <v>6867</v>
      </c>
      <c r="L203" s="29"/>
      <c r="M203" s="103"/>
      <c r="N203" s="109"/>
      <c r="O203" s="6"/>
    </row>
    <row r="204" spans="1:15" ht="15.75">
      <c r="A204" s="108"/>
      <c r="B204" s="74" t="s">
        <v>144</v>
      </c>
      <c r="C204" s="67"/>
      <c r="D204" s="67"/>
      <c r="E204" s="74"/>
      <c r="F204" s="74"/>
      <c r="G204" s="74"/>
      <c r="H204" s="29"/>
      <c r="I204" s="29"/>
      <c r="J204" s="29"/>
      <c r="K204" s="89">
        <f>39+13+24+37+79+95+96+27+47+27+200+44+35+53+194+32+40+38+177</f>
        <v>1297</v>
      </c>
      <c r="L204" s="29"/>
      <c r="M204" s="103"/>
      <c r="N204" s="109"/>
      <c r="O204" s="6"/>
    </row>
    <row r="205" spans="1:15" ht="15.75">
      <c r="A205" s="108"/>
      <c r="B205" s="74"/>
      <c r="C205" s="67"/>
      <c r="D205" s="67"/>
      <c r="E205" s="74"/>
      <c r="F205" s="74"/>
      <c r="G205" s="74"/>
      <c r="H205" s="29"/>
      <c r="I205" s="29"/>
      <c r="J205" s="29"/>
      <c r="K205" s="89"/>
      <c r="L205" s="29"/>
      <c r="M205" s="103"/>
      <c r="N205" s="109"/>
      <c r="O205" s="6"/>
    </row>
    <row r="206" spans="1:15" ht="15.75">
      <c r="A206" s="106"/>
      <c r="B206" s="74" t="s">
        <v>145</v>
      </c>
      <c r="C206" s="67"/>
      <c r="D206" s="67"/>
      <c r="E206" s="67"/>
      <c r="F206" s="67"/>
      <c r="G206" s="67"/>
      <c r="H206" s="29"/>
      <c r="I206" s="29"/>
      <c r="J206" s="29"/>
      <c r="K206" s="66">
        <f>G142</f>
        <v>100</v>
      </c>
      <c r="L206" s="29"/>
      <c r="M206" s="103"/>
      <c r="N206" s="109"/>
      <c r="O206" s="6"/>
    </row>
    <row r="207" spans="1:15" ht="15.75">
      <c r="A207" s="106"/>
      <c r="B207" s="74" t="s">
        <v>146</v>
      </c>
      <c r="C207" s="67"/>
      <c r="D207" s="67"/>
      <c r="E207" s="67"/>
      <c r="F207" s="67"/>
      <c r="G207" s="67"/>
      <c r="H207" s="29"/>
      <c r="I207" s="29"/>
      <c r="J207" s="29"/>
      <c r="K207" s="66">
        <f>+'July 2003'!K207+'Oct 2003'!K206</f>
        <v>755</v>
      </c>
      <c r="L207" s="29"/>
      <c r="M207" s="103"/>
      <c r="N207" s="109"/>
      <c r="O207" s="6"/>
    </row>
    <row r="208" spans="1:15" ht="15.75">
      <c r="A208" s="106"/>
      <c r="B208" s="74" t="s">
        <v>144</v>
      </c>
      <c r="C208" s="67"/>
      <c r="D208" s="67"/>
      <c r="E208" s="67"/>
      <c r="F208" s="67"/>
      <c r="G208" s="67"/>
      <c r="H208" s="29"/>
      <c r="I208" s="29"/>
      <c r="J208" s="29"/>
      <c r="K208" s="66"/>
      <c r="L208" s="29"/>
      <c r="M208" s="103"/>
      <c r="N208" s="109"/>
      <c r="O208" s="6"/>
    </row>
    <row r="209" spans="1:15" ht="15.75">
      <c r="A209" s="106"/>
      <c r="B209" s="74"/>
      <c r="C209" s="67"/>
      <c r="D209" s="67"/>
      <c r="E209" s="67"/>
      <c r="F209" s="67"/>
      <c r="G209" s="67"/>
      <c r="H209" s="29"/>
      <c r="I209" s="29"/>
      <c r="J209" s="29"/>
      <c r="K209" s="66"/>
      <c r="L209" s="29"/>
      <c r="M209" s="103"/>
      <c r="N209" s="109"/>
      <c r="O209" s="6"/>
    </row>
    <row r="210" spans="1:15" ht="15.75">
      <c r="A210" s="108"/>
      <c r="B210" s="162" t="s">
        <v>147</v>
      </c>
      <c r="C210" s="67"/>
      <c r="D210" s="67"/>
      <c r="E210" s="74"/>
      <c r="F210" s="74"/>
      <c r="G210" s="74"/>
      <c r="H210" s="29"/>
      <c r="I210" s="29"/>
      <c r="J210" s="29"/>
      <c r="K210" s="110"/>
      <c r="L210" s="29"/>
      <c r="M210" s="103"/>
      <c r="N210" s="109"/>
      <c r="O210" s="6"/>
    </row>
    <row r="211" spans="1:15" ht="15.75">
      <c r="A211" s="108"/>
      <c r="B211" s="74" t="s">
        <v>148</v>
      </c>
      <c r="C211" s="67"/>
      <c r="D211" s="67"/>
      <c r="E211" s="74"/>
      <c r="F211" s="74"/>
      <c r="G211" s="74"/>
      <c r="H211" s="29"/>
      <c r="I211" s="29"/>
      <c r="J211" s="29"/>
      <c r="K211" s="110">
        <v>0</v>
      </c>
      <c r="L211" s="29"/>
      <c r="M211" s="103"/>
      <c r="N211" s="109"/>
      <c r="O211" s="6"/>
    </row>
    <row r="212" spans="1:15" ht="15.75">
      <c r="A212" s="106"/>
      <c r="B212" s="74" t="s">
        <v>149</v>
      </c>
      <c r="C212" s="67"/>
      <c r="D212" s="67"/>
      <c r="E212" s="111"/>
      <c r="F212" s="111"/>
      <c r="G212" s="112"/>
      <c r="H212" s="29"/>
      <c r="I212" s="29"/>
      <c r="J212" s="29"/>
      <c r="K212" s="110">
        <v>0</v>
      </c>
      <c r="L212" s="29"/>
      <c r="M212" s="103"/>
      <c r="N212" s="109"/>
      <c r="O212" s="6"/>
    </row>
    <row r="213" spans="1:15" ht="15.75">
      <c r="A213" s="106"/>
      <c r="B213" s="74" t="s">
        <v>150</v>
      </c>
      <c r="C213" s="67"/>
      <c r="D213" s="67"/>
      <c r="E213" s="111"/>
      <c r="F213" s="111"/>
      <c r="G213" s="112"/>
      <c r="H213" s="29"/>
      <c r="I213" s="29"/>
      <c r="J213" s="29"/>
      <c r="K213" s="110">
        <v>0</v>
      </c>
      <c r="L213" s="29"/>
      <c r="M213" s="103"/>
      <c r="N213" s="109"/>
      <c r="O213" s="6"/>
    </row>
    <row r="214" spans="1:15" ht="15.75">
      <c r="A214" s="106"/>
      <c r="B214" s="74" t="s">
        <v>151</v>
      </c>
      <c r="C214" s="67"/>
      <c r="D214" s="67"/>
      <c r="E214" s="113"/>
      <c r="F214" s="111"/>
      <c r="G214" s="112"/>
      <c r="H214" s="29"/>
      <c r="I214" s="29"/>
      <c r="J214" s="29"/>
      <c r="K214" s="110">
        <v>0</v>
      </c>
      <c r="L214" s="29"/>
      <c r="M214" s="103"/>
      <c r="N214" s="109"/>
      <c r="O214" s="6"/>
    </row>
    <row r="215" spans="1:15" ht="15.75">
      <c r="A215" s="106"/>
      <c r="B215" s="74"/>
      <c r="C215" s="67"/>
      <c r="D215" s="67"/>
      <c r="E215" s="113"/>
      <c r="F215" s="111"/>
      <c r="G215" s="112"/>
      <c r="H215" s="29"/>
      <c r="I215" s="37"/>
      <c r="J215" s="37"/>
      <c r="K215" s="114"/>
      <c r="L215" s="37"/>
      <c r="M215" s="103"/>
      <c r="N215" s="109"/>
      <c r="O215" s="6"/>
    </row>
    <row r="216" spans="1:15" ht="15.75">
      <c r="A216" s="106"/>
      <c r="B216" s="162" t="s">
        <v>152</v>
      </c>
      <c r="C216" s="67"/>
      <c r="D216" s="67"/>
      <c r="E216" s="113"/>
      <c r="F216" s="111"/>
      <c r="G216" s="112"/>
      <c r="H216" s="29"/>
      <c r="I216" s="37"/>
      <c r="J216" s="37"/>
      <c r="K216" s="114"/>
      <c r="L216" s="37"/>
      <c r="M216" s="103"/>
      <c r="N216" s="109"/>
      <c r="O216" s="6"/>
    </row>
    <row r="217" spans="1:15" ht="15.75">
      <c r="A217" s="106"/>
      <c r="B217" s="74" t="s">
        <v>153</v>
      </c>
      <c r="C217" s="67"/>
      <c r="D217" s="67"/>
      <c r="E217" s="113"/>
      <c r="F217" s="111"/>
      <c r="G217" s="112"/>
      <c r="H217" s="29"/>
      <c r="I217" s="37"/>
      <c r="J217" s="37"/>
      <c r="K217" s="115">
        <v>262</v>
      </c>
      <c r="L217" s="37"/>
      <c r="M217" s="103"/>
      <c r="N217" s="109"/>
      <c r="O217" s="6"/>
    </row>
    <row r="218" spans="1:15" ht="15.75">
      <c r="A218" s="106"/>
      <c r="B218" s="74" t="s">
        <v>149</v>
      </c>
      <c r="C218" s="67"/>
      <c r="D218" s="67"/>
      <c r="E218" s="113"/>
      <c r="F218" s="111"/>
      <c r="G218" s="112"/>
      <c r="H218" s="29"/>
      <c r="I218" s="37"/>
      <c r="J218" s="37"/>
      <c r="K218" s="115">
        <v>1.95</v>
      </c>
      <c r="L218" s="37"/>
      <c r="M218" s="103"/>
      <c r="N218" s="109"/>
      <c r="O218" s="6"/>
    </row>
    <row r="219" spans="1:15" ht="15.75">
      <c r="A219" s="106"/>
      <c r="B219" s="74" t="s">
        <v>154</v>
      </c>
      <c r="C219" s="67"/>
      <c r="D219" s="67"/>
      <c r="E219" s="113"/>
      <c r="F219" s="111"/>
      <c r="G219" s="112"/>
      <c r="H219" s="29"/>
      <c r="I219" s="37"/>
      <c r="J219" s="37"/>
      <c r="K219" s="115">
        <v>33</v>
      </c>
      <c r="L219" s="37"/>
      <c r="M219" s="103"/>
      <c r="N219" s="109"/>
      <c r="O219" s="6"/>
    </row>
    <row r="220" spans="1:15" ht="15.75">
      <c r="A220" s="106"/>
      <c r="B220" s="74"/>
      <c r="C220" s="67"/>
      <c r="D220" s="67"/>
      <c r="E220" s="113"/>
      <c r="F220" s="111"/>
      <c r="G220" s="112"/>
      <c r="H220" s="29"/>
      <c r="I220" s="37"/>
      <c r="J220" s="37"/>
      <c r="K220" s="114"/>
      <c r="L220" s="37"/>
      <c r="M220" s="103"/>
      <c r="N220" s="109"/>
      <c r="O220" s="6"/>
    </row>
    <row r="221" spans="1:15" ht="15.75">
      <c r="A221" s="28"/>
      <c r="B221" s="32" t="s">
        <v>155</v>
      </c>
      <c r="C221" s="119"/>
      <c r="D221" s="119"/>
      <c r="E221" s="120"/>
      <c r="F221" s="119"/>
      <c r="G221" s="120"/>
      <c r="H221" s="119"/>
      <c r="I221" s="120" t="s">
        <v>206</v>
      </c>
      <c r="J221" s="119" t="s">
        <v>208</v>
      </c>
      <c r="K221" s="120" t="s">
        <v>215</v>
      </c>
      <c r="L221" s="119" t="s">
        <v>208</v>
      </c>
      <c r="M221" s="121"/>
      <c r="N221" s="109"/>
      <c r="O221" s="6"/>
    </row>
    <row r="222" spans="1:15" ht="15.75">
      <c r="A222" s="28"/>
      <c r="B222" s="67" t="s">
        <v>156</v>
      </c>
      <c r="C222" s="116"/>
      <c r="D222" s="116"/>
      <c r="E222" s="67"/>
      <c r="F222" s="116"/>
      <c r="G222" s="29"/>
      <c r="H222" s="116"/>
      <c r="I222" s="67">
        <v>5971</v>
      </c>
      <c r="J222" s="116">
        <f>I222/I226</f>
        <v>0.9674335709656513</v>
      </c>
      <c r="K222" s="66">
        <v>101240</v>
      </c>
      <c r="L222" s="117">
        <f>K222/K226</f>
        <v>0.9667223681069468</v>
      </c>
      <c r="M222" s="103"/>
      <c r="N222" s="109"/>
      <c r="O222" s="6"/>
    </row>
    <row r="223" spans="1:15" ht="15.75">
      <c r="A223" s="28"/>
      <c r="B223" s="67" t="s">
        <v>157</v>
      </c>
      <c r="C223" s="116"/>
      <c r="D223" s="116"/>
      <c r="E223" s="67"/>
      <c r="F223" s="116"/>
      <c r="G223" s="29"/>
      <c r="H223" s="118"/>
      <c r="I223" s="67">
        <v>93</v>
      </c>
      <c r="J223" s="116">
        <f>I223/I226</f>
        <v>0.015068049254698639</v>
      </c>
      <c r="K223" s="66">
        <v>1763</v>
      </c>
      <c r="L223" s="117">
        <f>K223/K226</f>
        <v>0.01683456672236811</v>
      </c>
      <c r="M223" s="103"/>
      <c r="N223" s="109"/>
      <c r="O223" s="6"/>
    </row>
    <row r="224" spans="1:15" ht="15.75">
      <c r="A224" s="28"/>
      <c r="B224" s="67" t="s">
        <v>158</v>
      </c>
      <c r="C224" s="116"/>
      <c r="D224" s="116"/>
      <c r="E224" s="67"/>
      <c r="F224" s="116"/>
      <c r="G224" s="29"/>
      <c r="H224" s="118"/>
      <c r="I224" s="67">
        <v>41</v>
      </c>
      <c r="J224" s="116">
        <f>I224/I226</f>
        <v>0.006642903434867142</v>
      </c>
      <c r="K224" s="66">
        <v>626</v>
      </c>
      <c r="L224" s="117">
        <f>K224/K226</f>
        <v>0.0059775602769157315</v>
      </c>
      <c r="M224" s="103"/>
      <c r="N224" s="109"/>
      <c r="O224" s="6"/>
    </row>
    <row r="225" spans="1:15" ht="15.75">
      <c r="A225" s="28"/>
      <c r="B225" s="67" t="s">
        <v>159</v>
      </c>
      <c r="C225" s="116"/>
      <c r="D225" s="116"/>
      <c r="E225" s="67"/>
      <c r="F225" s="116"/>
      <c r="G225" s="29"/>
      <c r="H225" s="118"/>
      <c r="I225" s="67">
        <v>67</v>
      </c>
      <c r="J225" s="116">
        <f>I225/I226</f>
        <v>0.01085547634478289</v>
      </c>
      <c r="K225" s="66">
        <v>1096</v>
      </c>
      <c r="L225" s="117">
        <f>K225/K226</f>
        <v>0.010465504893769396</v>
      </c>
      <c r="M225" s="103"/>
      <c r="N225" s="109"/>
      <c r="O225" s="6"/>
    </row>
    <row r="226" spans="1:15" ht="15.75">
      <c r="A226" s="28"/>
      <c r="B226" s="29"/>
      <c r="C226" s="29"/>
      <c r="D226" s="29"/>
      <c r="E226" s="37"/>
      <c r="F226" s="29"/>
      <c r="G226" s="29"/>
      <c r="H226" s="29"/>
      <c r="I226" s="65">
        <f>SUM(I222:I225)</f>
        <v>6172</v>
      </c>
      <c r="J226" s="117">
        <f>SUM(J222:J225)</f>
        <v>1</v>
      </c>
      <c r="K226" s="66">
        <f>SUM(K222:K225)</f>
        <v>104725</v>
      </c>
      <c r="L226" s="117">
        <f>SUM(L222:L225)</f>
        <v>1</v>
      </c>
      <c r="M226" s="103"/>
      <c r="N226" s="29"/>
      <c r="O226" s="6"/>
    </row>
    <row r="227" spans="1:15" ht="15.75">
      <c r="A227" s="28"/>
      <c r="B227" s="29"/>
      <c r="C227" s="29"/>
      <c r="D227" s="29"/>
      <c r="E227" s="37"/>
      <c r="F227" s="29"/>
      <c r="G227" s="29"/>
      <c r="H227" s="29"/>
      <c r="I227" s="65"/>
      <c r="J227" s="117"/>
      <c r="K227" s="66"/>
      <c r="L227" s="117"/>
      <c r="M227" s="103"/>
      <c r="N227" s="29"/>
      <c r="O227" s="6"/>
    </row>
    <row r="228" spans="1:15" ht="15.75">
      <c r="A228" s="28"/>
      <c r="B228" s="32" t="s">
        <v>160</v>
      </c>
      <c r="C228" s="119"/>
      <c r="D228" s="119"/>
      <c r="E228" s="120"/>
      <c r="F228" s="119"/>
      <c r="G228" s="120"/>
      <c r="H228" s="119"/>
      <c r="I228" s="120" t="s">
        <v>206</v>
      </c>
      <c r="J228" s="119" t="s">
        <v>208</v>
      </c>
      <c r="K228" s="120" t="s">
        <v>215</v>
      </c>
      <c r="L228" s="119" t="s">
        <v>208</v>
      </c>
      <c r="M228" s="121"/>
      <c r="N228" s="109"/>
      <c r="O228" s="6"/>
    </row>
    <row r="229" spans="1:15" ht="15.75">
      <c r="A229" s="28"/>
      <c r="B229" s="67" t="s">
        <v>156</v>
      </c>
      <c r="C229" s="116"/>
      <c r="D229" s="116"/>
      <c r="E229" s="67"/>
      <c r="F229" s="116"/>
      <c r="G229" s="29"/>
      <c r="H229" s="116"/>
      <c r="I229" s="67">
        <v>14486</v>
      </c>
      <c r="J229" s="116">
        <f>I229/I233</f>
        <v>0.9846383904295813</v>
      </c>
      <c r="K229" s="66">
        <v>78640</v>
      </c>
      <c r="L229" s="116">
        <f>K229/K233</f>
        <v>0.9844150967015084</v>
      </c>
      <c r="M229" s="103"/>
      <c r="N229" s="109"/>
      <c r="O229" s="6"/>
    </row>
    <row r="230" spans="1:15" ht="15.75">
      <c r="A230" s="28"/>
      <c r="B230" s="67" t="s">
        <v>157</v>
      </c>
      <c r="C230" s="116"/>
      <c r="D230" s="116"/>
      <c r="E230" s="67"/>
      <c r="F230" s="116"/>
      <c r="G230" s="29"/>
      <c r="H230" s="118"/>
      <c r="I230" s="67">
        <v>73</v>
      </c>
      <c r="J230" s="116">
        <f>I230/I233</f>
        <v>0.004961935834692768</v>
      </c>
      <c r="K230" s="66">
        <v>410</v>
      </c>
      <c r="L230" s="116">
        <f>K230/K233</f>
        <v>0.0051323777930775485</v>
      </c>
      <c r="M230" s="103"/>
      <c r="N230" s="109"/>
      <c r="O230" s="6"/>
    </row>
    <row r="231" spans="1:15" ht="15.75">
      <c r="A231" s="28"/>
      <c r="B231" s="67" t="s">
        <v>158</v>
      </c>
      <c r="C231" s="116"/>
      <c r="D231" s="116"/>
      <c r="E231" s="67"/>
      <c r="F231" s="116"/>
      <c r="G231" s="29"/>
      <c r="H231" s="118"/>
      <c r="I231" s="67">
        <v>44</v>
      </c>
      <c r="J231" s="116">
        <f>I231/I233</f>
        <v>0.002990755845568244</v>
      </c>
      <c r="K231" s="66">
        <v>211</v>
      </c>
      <c r="L231" s="116">
        <f>K231/K233</f>
        <v>0.0026412968642423483</v>
      </c>
      <c r="M231" s="103"/>
      <c r="N231" s="109"/>
      <c r="O231" s="6"/>
    </row>
    <row r="232" spans="1:15" ht="15.75">
      <c r="A232" s="28"/>
      <c r="B232" s="67" t="s">
        <v>159</v>
      </c>
      <c r="C232" s="116"/>
      <c r="D232" s="116"/>
      <c r="E232" s="67"/>
      <c r="F232" s="116"/>
      <c r="G232" s="29"/>
      <c r="H232" s="118"/>
      <c r="I232" s="67">
        <v>109</v>
      </c>
      <c r="J232" s="116">
        <f>I232/I233</f>
        <v>0.007408917890157694</v>
      </c>
      <c r="K232" s="66">
        <v>624</v>
      </c>
      <c r="L232" s="116">
        <f>K232/K233</f>
        <v>0.007811228641171684</v>
      </c>
      <c r="M232" s="103"/>
      <c r="N232" s="109"/>
      <c r="O232" s="6"/>
    </row>
    <row r="233" spans="1:15" ht="15.75">
      <c r="A233" s="28"/>
      <c r="B233" s="29"/>
      <c r="C233" s="29"/>
      <c r="D233" s="29"/>
      <c r="E233" s="37"/>
      <c r="F233" s="29"/>
      <c r="G233" s="29"/>
      <c r="H233" s="29"/>
      <c r="I233" s="65">
        <f>SUM(I229:I232)</f>
        <v>14712</v>
      </c>
      <c r="J233" s="117">
        <f>SUM(J229:J232)</f>
        <v>1</v>
      </c>
      <c r="K233" s="66">
        <f>SUM(K229:K232)</f>
        <v>79885</v>
      </c>
      <c r="L233" s="117">
        <f>SUM(L229:L232)</f>
        <v>0.9999999999999999</v>
      </c>
      <c r="M233" s="103"/>
      <c r="N233" s="29"/>
      <c r="O233" s="6"/>
    </row>
    <row r="234" spans="1:15" ht="15.75">
      <c r="A234" s="28"/>
      <c r="B234" s="29"/>
      <c r="C234" s="29"/>
      <c r="D234" s="29"/>
      <c r="E234" s="37"/>
      <c r="F234" s="29"/>
      <c r="G234" s="29"/>
      <c r="H234" s="29"/>
      <c r="I234" s="65"/>
      <c r="J234" s="117"/>
      <c r="K234" s="66"/>
      <c r="L234" s="117"/>
      <c r="M234" s="103"/>
      <c r="N234" s="29"/>
      <c r="O234" s="6"/>
    </row>
    <row r="235" spans="1:15" ht="15.75">
      <c r="A235" s="28"/>
      <c r="B235" s="29" t="s">
        <v>161</v>
      </c>
      <c r="C235" s="29"/>
      <c r="D235" s="29"/>
      <c r="E235" s="37"/>
      <c r="F235" s="29"/>
      <c r="G235" s="29"/>
      <c r="H235" s="29"/>
      <c r="I235" s="65"/>
      <c r="J235" s="117"/>
      <c r="K235" s="66">
        <f>K226+K233</f>
        <v>184610</v>
      </c>
      <c r="L235" s="117"/>
      <c r="M235" s="103"/>
      <c r="N235" s="29"/>
      <c r="O235" s="6"/>
    </row>
    <row r="236" spans="1:15" ht="15.75">
      <c r="A236" s="28"/>
      <c r="B236" s="29"/>
      <c r="C236" s="29"/>
      <c r="D236" s="29"/>
      <c r="E236" s="37"/>
      <c r="F236" s="29"/>
      <c r="G236" s="29"/>
      <c r="H236" s="29"/>
      <c r="I236" s="65"/>
      <c r="J236" s="117"/>
      <c r="K236" s="66"/>
      <c r="L236" s="117"/>
      <c r="M236" s="103"/>
      <c r="N236" s="29"/>
      <c r="O236" s="6"/>
    </row>
    <row r="237" spans="1:15" ht="15.75">
      <c r="A237" s="28"/>
      <c r="B237" s="29"/>
      <c r="C237" s="29"/>
      <c r="D237" s="29"/>
      <c r="E237" s="37"/>
      <c r="F237" s="29"/>
      <c r="G237" s="29"/>
      <c r="H237" s="29"/>
      <c r="I237" s="65"/>
      <c r="J237" s="117"/>
      <c r="K237" s="66"/>
      <c r="L237" s="117"/>
      <c r="M237" s="103"/>
      <c r="N237" s="29"/>
      <c r="O237" s="6"/>
    </row>
    <row r="238" spans="1:15" ht="15.75">
      <c r="A238" s="122"/>
      <c r="B238" s="17" t="s">
        <v>162</v>
      </c>
      <c r="C238" s="123"/>
      <c r="D238" s="123"/>
      <c r="E238" s="20" t="s">
        <v>182</v>
      </c>
      <c r="F238" s="18"/>
      <c r="G238" s="17" t="s">
        <v>194</v>
      </c>
      <c r="H238" s="124"/>
      <c r="I238" s="124"/>
      <c r="J238" s="124"/>
      <c r="K238" s="125"/>
      <c r="L238" s="14"/>
      <c r="M238" s="14"/>
      <c r="N238" s="14"/>
      <c r="O238" s="6"/>
    </row>
    <row r="239" spans="1:15" ht="15.75">
      <c r="A239" s="122"/>
      <c r="B239" s="15" t="s">
        <v>163</v>
      </c>
      <c r="C239" s="126"/>
      <c r="D239" s="126"/>
      <c r="E239" s="127" t="s">
        <v>183</v>
      </c>
      <c r="F239" s="15"/>
      <c r="G239" s="15" t="s">
        <v>195</v>
      </c>
      <c r="H239" s="126"/>
      <c r="I239" s="126"/>
      <c r="J239" s="14"/>
      <c r="K239" s="14"/>
      <c r="L239" s="14"/>
      <c r="M239" s="14"/>
      <c r="N239" s="14"/>
      <c r="O239" s="6"/>
    </row>
    <row r="240" spans="1:15" ht="15.75">
      <c r="A240" s="122"/>
      <c r="B240" s="15" t="s">
        <v>164</v>
      </c>
      <c r="C240" s="126"/>
      <c r="D240" s="126"/>
      <c r="E240" s="127" t="s">
        <v>184</v>
      </c>
      <c r="F240" s="15"/>
      <c r="G240" s="15" t="s">
        <v>196</v>
      </c>
      <c r="H240" s="126"/>
      <c r="I240" s="126"/>
      <c r="J240" s="14"/>
      <c r="K240" s="14"/>
      <c r="L240" s="14"/>
      <c r="M240" s="14"/>
      <c r="N240" s="14"/>
      <c r="O240" s="6"/>
    </row>
    <row r="241" spans="1:15" ht="15.75">
      <c r="A241" s="122"/>
      <c r="B241" s="15"/>
      <c r="C241" s="126"/>
      <c r="D241" s="126"/>
      <c r="E241" s="127"/>
      <c r="F241" s="15"/>
      <c r="G241" s="15"/>
      <c r="H241" s="126"/>
      <c r="I241" s="126"/>
      <c r="J241" s="14"/>
      <c r="K241" s="14"/>
      <c r="L241" s="14"/>
      <c r="M241" s="14"/>
      <c r="N241" s="14"/>
      <c r="O241" s="6"/>
    </row>
    <row r="242" spans="1:15" ht="15.75">
      <c r="A242" s="122"/>
      <c r="B242" s="15"/>
      <c r="C242" s="126"/>
      <c r="D242" s="126"/>
      <c r="E242" s="127"/>
      <c r="F242" s="15"/>
      <c r="G242" s="15"/>
      <c r="H242" s="126"/>
      <c r="I242" s="126"/>
      <c r="J242" s="14"/>
      <c r="K242" s="14"/>
      <c r="L242" s="14"/>
      <c r="M242" s="14"/>
      <c r="N242" s="14"/>
      <c r="O242" s="6"/>
    </row>
    <row r="243" spans="1:15" ht="15.75">
      <c r="A243" s="122"/>
      <c r="B243" s="15" t="str">
        <f>B174</f>
        <v>PASF1 INVESTOR REPORT QUARTER ENDING OCTOBER 2003</v>
      </c>
      <c r="C243" s="126"/>
      <c r="D243" s="126"/>
      <c r="E243" s="127"/>
      <c r="F243" s="15"/>
      <c r="G243" s="15"/>
      <c r="H243" s="126"/>
      <c r="I243" s="126"/>
      <c r="J243" s="14"/>
      <c r="K243" s="14"/>
      <c r="L243" s="14"/>
      <c r="M243" s="14"/>
      <c r="N243" s="14"/>
      <c r="O243" s="6"/>
    </row>
    <row r="244" spans="1:14" ht="15">
      <c r="A244" s="130"/>
      <c r="B244" s="130"/>
      <c r="C244" s="130"/>
      <c r="D244" s="130"/>
      <c r="E244" s="130"/>
      <c r="F244" s="130"/>
      <c r="G244" s="130"/>
      <c r="H244" s="130"/>
      <c r="I244" s="130"/>
      <c r="J244" s="130"/>
      <c r="K244" s="130"/>
      <c r="L244" s="130"/>
      <c r="M244" s="130"/>
      <c r="N244" s="130"/>
    </row>
  </sheetData>
  <printOptions horizontalCentered="1" verticalCentered="1"/>
  <pageMargins left="0.2362204724409449" right="0.4330708661417323" top="0.2362204724409449" bottom="0.31496062992125984" header="0" footer="0"/>
  <pageSetup horizontalDpi="600" verticalDpi="600" orientation="landscape" paperSize="9" scale="48" r:id="rId2"/>
  <rowBreaks count="3" manualBreakCount="3">
    <brk id="53" max="14" man="1"/>
    <brk id="116" max="14" man="1"/>
    <brk id="174" max="14" man="1"/>
  </rowBreaks>
  <drawing r:id="rId1"/>
</worksheet>
</file>

<file path=xl/worksheets/sheet13.xml><?xml version="1.0" encoding="utf-8"?>
<worksheet xmlns="http://schemas.openxmlformats.org/spreadsheetml/2006/main" xmlns:r="http://schemas.openxmlformats.org/officeDocument/2006/relationships">
  <dimension ref="A1:T24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49.6640625" style="1" customWidth="1"/>
    <col min="3" max="3" width="12.6640625" style="1" customWidth="1"/>
    <col min="4" max="4" width="18.6640625" style="1" customWidth="1"/>
    <col min="5" max="5" width="14.6640625" style="1" customWidth="1"/>
    <col min="6" max="6" width="4.6640625" style="1" customWidth="1"/>
    <col min="7" max="7" width="14.6640625" style="1" customWidth="1"/>
    <col min="8" max="8" width="4.6640625" style="1" customWidth="1"/>
    <col min="9" max="9" width="19.6640625" style="1" customWidth="1"/>
    <col min="10" max="10" width="6.6640625" style="1" customWidth="1"/>
    <col min="11" max="11" width="11.6640625" style="1" customWidth="1"/>
    <col min="12" max="12" width="8.6640625" style="1" customWidth="1"/>
    <col min="13" max="13" width="14.6640625" style="1" customWidth="1"/>
    <col min="14" max="14" width="2.6640625" style="1" customWidth="1"/>
    <col min="15" max="16384" width="9.6640625" style="1" customWidth="1"/>
  </cols>
  <sheetData>
    <row r="1" spans="1:15" ht="20.25">
      <c r="A1" s="2"/>
      <c r="B1" s="3" t="s">
        <v>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44" t="s">
        <v>1</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241</v>
      </c>
      <c r="C5" s="13"/>
      <c r="D5" s="13"/>
      <c r="E5" s="9"/>
      <c r="F5" s="9"/>
      <c r="G5" s="9"/>
      <c r="H5" s="9"/>
      <c r="I5" s="9"/>
      <c r="J5" s="9"/>
      <c r="K5" s="9"/>
      <c r="L5" s="9"/>
      <c r="M5" s="9"/>
      <c r="N5" s="9"/>
      <c r="O5" s="6"/>
    </row>
    <row r="6" spans="1:15" ht="15.75">
      <c r="A6" s="7"/>
      <c r="B6" s="12" t="s">
        <v>242</v>
      </c>
      <c r="C6" s="13"/>
      <c r="D6" s="13"/>
      <c r="E6" s="9"/>
      <c r="F6" s="9"/>
      <c r="G6" s="9"/>
      <c r="H6" s="9"/>
      <c r="I6" s="9"/>
      <c r="J6" s="9"/>
      <c r="K6" s="9"/>
      <c r="L6" s="9"/>
      <c r="M6" s="9"/>
      <c r="N6" s="9"/>
      <c r="O6" s="6"/>
    </row>
    <row r="7" spans="1:15" ht="15.75">
      <c r="A7" s="7"/>
      <c r="B7" s="12" t="s">
        <v>4</v>
      </c>
      <c r="C7" s="13"/>
      <c r="D7" s="13"/>
      <c r="E7" s="9"/>
      <c r="F7" s="9"/>
      <c r="G7" s="9"/>
      <c r="H7" s="9"/>
      <c r="I7" s="9"/>
      <c r="J7" s="9"/>
      <c r="K7" s="9"/>
      <c r="L7" s="9"/>
      <c r="M7" s="9"/>
      <c r="N7" s="9"/>
      <c r="O7" s="6"/>
    </row>
    <row r="8" spans="1:15" ht="15.75">
      <c r="A8" s="7"/>
      <c r="B8" s="14"/>
      <c r="C8" s="13"/>
      <c r="D8" s="13"/>
      <c r="E8" s="9"/>
      <c r="F8" s="9"/>
      <c r="G8" s="9"/>
      <c r="H8" s="9"/>
      <c r="I8" s="9"/>
      <c r="J8" s="9"/>
      <c r="K8" s="9"/>
      <c r="L8" s="9"/>
      <c r="M8" s="9"/>
      <c r="N8" s="9"/>
      <c r="O8" s="6"/>
    </row>
    <row r="9" spans="1:15" ht="15.75">
      <c r="A9" s="7"/>
      <c r="B9" s="13"/>
      <c r="C9" s="13"/>
      <c r="D9" s="13"/>
      <c r="E9" s="15"/>
      <c r="F9" s="15"/>
      <c r="G9" s="9"/>
      <c r="H9" s="9"/>
      <c r="I9" s="9"/>
      <c r="J9" s="9"/>
      <c r="K9" s="9"/>
      <c r="L9" s="9"/>
      <c r="M9" s="9"/>
      <c r="N9" s="9"/>
      <c r="O9" s="6"/>
    </row>
    <row r="10" spans="1:15" ht="15.75">
      <c r="A10" s="7"/>
      <c r="B10" s="15" t="s">
        <v>5</v>
      </c>
      <c r="C10" s="15"/>
      <c r="D10" s="15"/>
      <c r="E10" s="9"/>
      <c r="F10" s="9"/>
      <c r="G10" s="9"/>
      <c r="H10" s="9"/>
      <c r="I10" s="9"/>
      <c r="J10" s="9"/>
      <c r="K10" s="9"/>
      <c r="L10" s="9"/>
      <c r="M10" s="9"/>
      <c r="N10" s="9"/>
      <c r="O10" s="6"/>
    </row>
    <row r="11" spans="1:15" ht="15.75">
      <c r="A11" s="7"/>
      <c r="B11" s="15"/>
      <c r="C11" s="15"/>
      <c r="D11" s="15"/>
      <c r="E11" s="9"/>
      <c r="F11" s="9"/>
      <c r="G11" s="9"/>
      <c r="H11" s="9"/>
      <c r="I11" s="9"/>
      <c r="J11" s="9"/>
      <c r="K11" s="9"/>
      <c r="L11" s="9"/>
      <c r="M11" s="9"/>
      <c r="N11" s="9"/>
      <c r="O11" s="6"/>
    </row>
    <row r="12" spans="1:15" ht="15.75">
      <c r="A12" s="2"/>
      <c r="B12" s="5"/>
      <c r="C12" s="5"/>
      <c r="D12" s="5"/>
      <c r="E12" s="5"/>
      <c r="F12" s="5"/>
      <c r="G12" s="5"/>
      <c r="H12" s="5"/>
      <c r="I12" s="5"/>
      <c r="J12" s="5"/>
      <c r="K12" s="5"/>
      <c r="L12" s="5"/>
      <c r="M12" s="5"/>
      <c r="N12" s="5"/>
      <c r="O12" s="6"/>
    </row>
    <row r="13" spans="1:15" ht="15.75">
      <c r="A13" s="7"/>
      <c r="B13" s="17" t="s">
        <v>6</v>
      </c>
      <c r="C13" s="17"/>
      <c r="D13" s="17"/>
      <c r="E13" s="18"/>
      <c r="F13" s="18"/>
      <c r="G13" s="18"/>
      <c r="H13" s="18"/>
      <c r="I13" s="18"/>
      <c r="J13" s="18"/>
      <c r="K13" s="18"/>
      <c r="L13" s="18"/>
      <c r="M13" s="19" t="s">
        <v>217</v>
      </c>
      <c r="N13" s="9"/>
      <c r="O13" s="6"/>
    </row>
    <row r="14" spans="1:15" ht="15.75">
      <c r="A14" s="7"/>
      <c r="B14" s="17" t="s">
        <v>7</v>
      </c>
      <c r="C14" s="17"/>
      <c r="D14" s="18"/>
      <c r="E14" s="18"/>
      <c r="F14" s="18"/>
      <c r="G14" s="18"/>
      <c r="H14" s="20" t="s">
        <v>197</v>
      </c>
      <c r="I14" s="21">
        <v>0.52</v>
      </c>
      <c r="J14" s="20" t="s">
        <v>207</v>
      </c>
      <c r="K14" s="21">
        <v>0.48</v>
      </c>
      <c r="L14" s="18"/>
      <c r="M14" s="19"/>
      <c r="N14" s="9"/>
      <c r="O14" s="6"/>
    </row>
    <row r="15" spans="1:15" ht="15.75">
      <c r="A15" s="7"/>
      <c r="B15" s="17" t="s">
        <v>8</v>
      </c>
      <c r="C15" s="17"/>
      <c r="D15" s="18"/>
      <c r="E15" s="18"/>
      <c r="F15" s="18"/>
      <c r="G15" s="18"/>
      <c r="H15" s="20" t="s">
        <v>197</v>
      </c>
      <c r="I15" s="21">
        <f>K233/K235</f>
        <v>0.41280910869951964</v>
      </c>
      <c r="J15" s="20" t="s">
        <v>207</v>
      </c>
      <c r="K15" s="21">
        <f>K226/K235</f>
        <v>0.5871908913004803</v>
      </c>
      <c r="L15" s="18"/>
      <c r="M15" s="19"/>
      <c r="N15" s="9"/>
      <c r="O15" s="6"/>
    </row>
    <row r="16" spans="1:15" ht="15.75">
      <c r="A16" s="7"/>
      <c r="B16" s="17" t="s">
        <v>9</v>
      </c>
      <c r="C16" s="17"/>
      <c r="D16" s="17"/>
      <c r="E16" s="18"/>
      <c r="F16" s="18"/>
      <c r="G16" s="18"/>
      <c r="H16" s="18"/>
      <c r="I16" s="18"/>
      <c r="J16" s="18"/>
      <c r="K16" s="18"/>
      <c r="L16" s="18"/>
      <c r="M16" s="22">
        <v>36853</v>
      </c>
      <c r="N16" s="9"/>
      <c r="O16" s="6"/>
    </row>
    <row r="17" spans="1:15" ht="15.75">
      <c r="A17" s="7"/>
      <c r="B17" s="17" t="s">
        <v>10</v>
      </c>
      <c r="C17" s="17"/>
      <c r="D17" s="17"/>
      <c r="E17" s="18"/>
      <c r="F17" s="18"/>
      <c r="G17" s="18"/>
      <c r="H17" s="18"/>
      <c r="I17" s="18"/>
      <c r="J17" s="18"/>
      <c r="K17" s="18"/>
      <c r="L17" s="18"/>
      <c r="M17" s="22">
        <v>38033</v>
      </c>
      <c r="N17" s="9"/>
      <c r="O17" s="6"/>
    </row>
    <row r="18" spans="1:15" ht="15.75">
      <c r="A18" s="7"/>
      <c r="B18" s="9"/>
      <c r="C18" s="9"/>
      <c r="D18" s="9"/>
      <c r="E18" s="9"/>
      <c r="F18" s="9"/>
      <c r="G18" s="9"/>
      <c r="H18" s="9"/>
      <c r="I18" s="9"/>
      <c r="J18" s="9"/>
      <c r="K18" s="9"/>
      <c r="L18" s="9"/>
      <c r="M18" s="23"/>
      <c r="N18" s="9"/>
      <c r="O18" s="6"/>
    </row>
    <row r="19" spans="1:15" ht="15.75">
      <c r="A19" s="7"/>
      <c r="B19" s="24" t="s">
        <v>11</v>
      </c>
      <c r="C19" s="9"/>
      <c r="D19" s="9"/>
      <c r="E19" s="9"/>
      <c r="F19" s="9"/>
      <c r="G19" s="9"/>
      <c r="H19" s="9"/>
      <c r="I19" s="9"/>
      <c r="J19" s="9"/>
      <c r="K19" s="23"/>
      <c r="L19" s="9"/>
      <c r="M19" s="14"/>
      <c r="N19" s="9"/>
      <c r="O19" s="6"/>
    </row>
    <row r="20" spans="1:15" ht="15.75">
      <c r="A20" s="7"/>
      <c r="B20" s="9"/>
      <c r="C20" s="9"/>
      <c r="D20" s="9"/>
      <c r="E20" s="9"/>
      <c r="F20" s="9"/>
      <c r="G20" s="9"/>
      <c r="H20" s="9"/>
      <c r="I20" s="9"/>
      <c r="J20" s="9"/>
      <c r="K20" s="9"/>
      <c r="L20" s="9"/>
      <c r="M20" s="25"/>
      <c r="N20" s="9"/>
      <c r="O20" s="6"/>
    </row>
    <row r="21" spans="1:15" ht="31.5">
      <c r="A21" s="7"/>
      <c r="B21" s="9"/>
      <c r="C21" s="145" t="s">
        <v>165</v>
      </c>
      <c r="D21" s="168" t="s">
        <v>168</v>
      </c>
      <c r="E21" s="168" t="s">
        <v>179</v>
      </c>
      <c r="F21" s="168"/>
      <c r="G21" s="168" t="s">
        <v>185</v>
      </c>
      <c r="H21" s="168"/>
      <c r="I21" s="168" t="s">
        <v>198</v>
      </c>
      <c r="J21" s="26"/>
      <c r="K21" s="27"/>
      <c r="L21" s="14"/>
      <c r="M21" s="14"/>
      <c r="N21" s="9"/>
      <c r="O21" s="6"/>
    </row>
    <row r="22" spans="1:15" ht="15.75">
      <c r="A22" s="28"/>
      <c r="B22" s="29" t="s">
        <v>12</v>
      </c>
      <c r="C22" s="146" t="s">
        <v>166</v>
      </c>
      <c r="D22" s="30" t="s">
        <v>169</v>
      </c>
      <c r="E22" s="30"/>
      <c r="F22" s="30"/>
      <c r="G22" s="30" t="s">
        <v>186</v>
      </c>
      <c r="H22" s="30"/>
      <c r="I22" s="30" t="s">
        <v>199</v>
      </c>
      <c r="J22" s="30"/>
      <c r="K22" s="30"/>
      <c r="L22" s="31"/>
      <c r="M22" s="31"/>
      <c r="N22" s="29"/>
      <c r="O22" s="6"/>
    </row>
    <row r="23" spans="1:15" ht="15.75">
      <c r="A23" s="28"/>
      <c r="B23" s="29" t="s">
        <v>13</v>
      </c>
      <c r="C23" s="32"/>
      <c r="D23" s="33" t="s">
        <v>170</v>
      </c>
      <c r="E23" s="34"/>
      <c r="F23" s="33"/>
      <c r="G23" s="33" t="s">
        <v>187</v>
      </c>
      <c r="H23" s="33"/>
      <c r="I23" s="33" t="s">
        <v>200</v>
      </c>
      <c r="J23" s="35"/>
      <c r="K23" s="35"/>
      <c r="L23" s="36"/>
      <c r="M23" s="31"/>
      <c r="N23" s="29"/>
      <c r="O23" s="6"/>
    </row>
    <row r="24" spans="1:15" ht="15.75">
      <c r="A24" s="28"/>
      <c r="B24" s="32" t="s">
        <v>14</v>
      </c>
      <c r="C24" s="32"/>
      <c r="D24" s="35" t="s">
        <v>169</v>
      </c>
      <c r="E24" s="35"/>
      <c r="F24" s="35"/>
      <c r="G24" s="35" t="s">
        <v>186</v>
      </c>
      <c r="H24" s="35"/>
      <c r="I24" s="35" t="s">
        <v>199</v>
      </c>
      <c r="J24" s="35"/>
      <c r="K24" s="35"/>
      <c r="L24" s="36"/>
      <c r="M24" s="31"/>
      <c r="N24" s="29"/>
      <c r="O24" s="6"/>
    </row>
    <row r="25" spans="1:15" ht="15.75">
      <c r="A25" s="28"/>
      <c r="B25" s="32" t="s">
        <v>15</v>
      </c>
      <c r="C25" s="32"/>
      <c r="D25" s="35" t="s">
        <v>170</v>
      </c>
      <c r="E25" s="35"/>
      <c r="F25" s="35"/>
      <c r="G25" s="35" t="s">
        <v>187</v>
      </c>
      <c r="H25" s="35"/>
      <c r="I25" s="35" t="s">
        <v>200</v>
      </c>
      <c r="J25" s="35"/>
      <c r="K25" s="35"/>
      <c r="L25" s="36"/>
      <c r="M25" s="31"/>
      <c r="N25" s="29"/>
      <c r="O25" s="6"/>
    </row>
    <row r="26" spans="1:15" ht="15.75">
      <c r="A26" s="28"/>
      <c r="B26" s="29" t="s">
        <v>16</v>
      </c>
      <c r="C26" s="29"/>
      <c r="D26" s="37" t="s">
        <v>171</v>
      </c>
      <c r="E26" s="37"/>
      <c r="F26" s="30"/>
      <c r="G26" s="37" t="s">
        <v>188</v>
      </c>
      <c r="H26" s="30"/>
      <c r="I26" s="37" t="s">
        <v>201</v>
      </c>
      <c r="J26" s="30"/>
      <c r="K26" s="37"/>
      <c r="L26" s="31"/>
      <c r="M26" s="31"/>
      <c r="N26" s="29"/>
      <c r="O26" s="6"/>
    </row>
    <row r="27" spans="1:15" ht="15.75">
      <c r="A27" s="28"/>
      <c r="B27" s="29"/>
      <c r="C27" s="29"/>
      <c r="D27" s="29"/>
      <c r="E27" s="29"/>
      <c r="F27" s="30"/>
      <c r="G27" s="30"/>
      <c r="H27" s="30"/>
      <c r="I27" s="30"/>
      <c r="J27" s="30"/>
      <c r="K27" s="30"/>
      <c r="L27" s="31"/>
      <c r="M27" s="31"/>
      <c r="N27" s="29"/>
      <c r="O27" s="6"/>
    </row>
    <row r="28" spans="1:15" ht="15.75">
      <c r="A28" s="28"/>
      <c r="B28" s="29" t="s">
        <v>17</v>
      </c>
      <c r="C28" s="29"/>
      <c r="D28" s="38" t="s">
        <v>172</v>
      </c>
      <c r="E28" s="38">
        <v>168668</v>
      </c>
      <c r="F28" s="39"/>
      <c r="G28" s="38">
        <v>16580</v>
      </c>
      <c r="H28" s="38"/>
      <c r="I28" s="38">
        <v>9750</v>
      </c>
      <c r="J28" s="38"/>
      <c r="K28" s="38"/>
      <c r="L28" s="39" t="s">
        <v>172</v>
      </c>
      <c r="M28" s="38">
        <f>K28+I28+G28+E28</f>
        <v>194998</v>
      </c>
      <c r="N28" s="40"/>
      <c r="O28" s="6"/>
    </row>
    <row r="29" spans="1:15" ht="15.75">
      <c r="A29" s="28"/>
      <c r="B29" s="29" t="s">
        <v>18</v>
      </c>
      <c r="C29" s="41">
        <f>M28/M29</f>
        <v>1</v>
      </c>
      <c r="D29" s="38" t="s">
        <v>173</v>
      </c>
      <c r="E29" s="38">
        <v>168668</v>
      </c>
      <c r="F29" s="39"/>
      <c r="G29" s="38">
        <v>16580</v>
      </c>
      <c r="H29" s="38"/>
      <c r="I29" s="38">
        <v>9750</v>
      </c>
      <c r="J29" s="42"/>
      <c r="K29" s="38"/>
      <c r="L29" s="39" t="s">
        <v>172</v>
      </c>
      <c r="M29" s="38">
        <f>K29+I29+G29+E29</f>
        <v>194998</v>
      </c>
      <c r="N29" s="40"/>
      <c r="O29" s="6"/>
    </row>
    <row r="30" spans="1:15" ht="15.75">
      <c r="A30" s="43"/>
      <c r="B30" s="32" t="s">
        <v>19</v>
      </c>
      <c r="C30" s="44">
        <f>M29/M30</f>
        <v>1</v>
      </c>
      <c r="D30" s="45" t="s">
        <v>172</v>
      </c>
      <c r="E30" s="45">
        <v>168668</v>
      </c>
      <c r="F30" s="46"/>
      <c r="G30" s="45">
        <v>16580</v>
      </c>
      <c r="H30" s="45"/>
      <c r="I30" s="45">
        <v>9750</v>
      </c>
      <c r="J30" s="45"/>
      <c r="K30" s="45"/>
      <c r="L30" s="46" t="s">
        <v>172</v>
      </c>
      <c r="M30" s="45">
        <f>K30+I30+G30+E30</f>
        <v>194998</v>
      </c>
      <c r="N30" s="29"/>
      <c r="O30" s="6"/>
    </row>
    <row r="31" spans="1:15" ht="15.75">
      <c r="A31" s="28"/>
      <c r="B31" s="29" t="s">
        <v>20</v>
      </c>
      <c r="C31" s="140"/>
      <c r="D31" s="37" t="s">
        <v>174</v>
      </c>
      <c r="E31" s="37"/>
      <c r="F31" s="29"/>
      <c r="G31" s="37" t="s">
        <v>189</v>
      </c>
      <c r="H31" s="37"/>
      <c r="I31" s="37" t="s">
        <v>202</v>
      </c>
      <c r="J31" s="37"/>
      <c r="K31" s="37"/>
      <c r="L31" s="31"/>
      <c r="M31" s="31"/>
      <c r="N31" s="29"/>
      <c r="O31" s="6"/>
    </row>
    <row r="32" spans="1:15" ht="15.75">
      <c r="A32" s="28"/>
      <c r="B32" s="29" t="s">
        <v>21</v>
      </c>
      <c r="C32" s="140"/>
      <c r="D32" s="48" t="s">
        <v>175</v>
      </c>
      <c r="E32" s="49">
        <v>0.0435438</v>
      </c>
      <c r="F32" s="50"/>
      <c r="G32" s="48">
        <v>0.0477938</v>
      </c>
      <c r="H32" s="48"/>
      <c r="I32" s="48">
        <v>0.0577938</v>
      </c>
      <c r="J32" s="51"/>
      <c r="K32" s="48"/>
      <c r="L32" s="31"/>
      <c r="M32" s="51">
        <f>SUMPRODUCT(E32:K32,E30:K30)/M30</f>
        <v>0.04461766998841014</v>
      </c>
      <c r="N32" s="29"/>
      <c r="O32" s="6"/>
    </row>
    <row r="33" spans="1:15" ht="15.75">
      <c r="A33" s="28"/>
      <c r="B33" s="29" t="s">
        <v>22</v>
      </c>
      <c r="C33" s="140"/>
      <c r="D33" s="48">
        <v>0.02511</v>
      </c>
      <c r="E33" s="48"/>
      <c r="F33" s="50"/>
      <c r="G33" s="48" t="s">
        <v>175</v>
      </c>
      <c r="H33" s="48"/>
      <c r="I33" s="48" t="s">
        <v>175</v>
      </c>
      <c r="J33" s="51"/>
      <c r="K33" s="48"/>
      <c r="L33" s="31"/>
      <c r="M33" s="51"/>
      <c r="N33" s="29"/>
      <c r="O33" s="6"/>
    </row>
    <row r="34" spans="1:15" ht="15.75">
      <c r="A34" s="28"/>
      <c r="B34" s="29" t="s">
        <v>23</v>
      </c>
      <c r="C34" s="140"/>
      <c r="D34" s="48" t="s">
        <v>175</v>
      </c>
      <c r="E34" s="48"/>
      <c r="F34" s="48"/>
      <c r="G34" s="48">
        <v>0.043</v>
      </c>
      <c r="H34" s="48"/>
      <c r="I34" s="48">
        <v>0.053</v>
      </c>
      <c r="J34" s="51"/>
      <c r="K34" s="48"/>
      <c r="L34" s="31"/>
      <c r="M34" s="31"/>
      <c r="N34" s="29"/>
      <c r="O34" s="6"/>
    </row>
    <row r="35" spans="1:15" ht="15.75">
      <c r="A35" s="28"/>
      <c r="B35" s="29" t="s">
        <v>24</v>
      </c>
      <c r="C35" s="140"/>
      <c r="D35" s="48">
        <v>0.02475</v>
      </c>
      <c r="E35" s="48"/>
      <c r="F35" s="50"/>
      <c r="G35" s="48" t="s">
        <v>175</v>
      </c>
      <c r="H35" s="48"/>
      <c r="I35" s="48" t="s">
        <v>175</v>
      </c>
      <c r="J35" s="51"/>
      <c r="K35" s="48"/>
      <c r="L35" s="31"/>
      <c r="M35" s="31"/>
      <c r="N35" s="29"/>
      <c r="O35" s="6"/>
    </row>
    <row r="36" spans="1:15" ht="15.75">
      <c r="A36" s="28"/>
      <c r="B36" s="29" t="s">
        <v>25</v>
      </c>
      <c r="C36" s="140"/>
      <c r="D36" s="37" t="s">
        <v>176</v>
      </c>
      <c r="E36" s="37"/>
      <c r="F36" s="29"/>
      <c r="G36" s="37" t="s">
        <v>176</v>
      </c>
      <c r="H36" s="37"/>
      <c r="I36" s="37" t="s">
        <v>176</v>
      </c>
      <c r="J36" s="37"/>
      <c r="K36" s="37"/>
      <c r="L36" s="31"/>
      <c r="M36" s="31"/>
      <c r="N36" s="29"/>
      <c r="O36" s="6"/>
    </row>
    <row r="37" spans="1:15" ht="15.75">
      <c r="A37" s="28"/>
      <c r="B37" s="29" t="s">
        <v>26</v>
      </c>
      <c r="C37" s="29"/>
      <c r="D37" s="52">
        <v>39036</v>
      </c>
      <c r="E37" s="52"/>
      <c r="F37" s="29"/>
      <c r="G37" s="52">
        <v>39036</v>
      </c>
      <c r="H37" s="52"/>
      <c r="I37" s="52">
        <v>39036</v>
      </c>
      <c r="J37" s="37"/>
      <c r="K37" s="37"/>
      <c r="L37" s="31"/>
      <c r="M37" s="31"/>
      <c r="N37" s="29"/>
      <c r="O37" s="6"/>
    </row>
    <row r="38" spans="1:15" ht="15.75">
      <c r="A38" s="28"/>
      <c r="B38" s="29" t="s">
        <v>27</v>
      </c>
      <c r="C38" s="29"/>
      <c r="D38" s="37" t="s">
        <v>177</v>
      </c>
      <c r="E38" s="37"/>
      <c r="F38" s="29"/>
      <c r="G38" s="37" t="s">
        <v>190</v>
      </c>
      <c r="H38" s="37"/>
      <c r="I38" s="37" t="s">
        <v>203</v>
      </c>
      <c r="J38" s="37"/>
      <c r="K38" s="37"/>
      <c r="L38" s="31"/>
      <c r="M38" s="31"/>
      <c r="N38" s="29"/>
      <c r="O38" s="6"/>
    </row>
    <row r="39" spans="1:15" ht="15.75">
      <c r="A39" s="28"/>
      <c r="B39" s="29"/>
      <c r="C39" s="29"/>
      <c r="D39" s="29"/>
      <c r="E39" s="53"/>
      <c r="F39" s="53"/>
      <c r="G39" s="29"/>
      <c r="H39" s="53"/>
      <c r="I39" s="174"/>
      <c r="J39" s="53"/>
      <c r="K39" s="53"/>
      <c r="L39" s="53"/>
      <c r="M39" s="53"/>
      <c r="N39" s="29"/>
      <c r="O39" s="6"/>
    </row>
    <row r="40" spans="1:15" ht="15.75">
      <c r="A40" s="28"/>
      <c r="B40" s="29" t="s">
        <v>28</v>
      </c>
      <c r="C40" s="29"/>
      <c r="D40" s="29"/>
      <c r="E40" s="29"/>
      <c r="F40" s="29"/>
      <c r="G40" s="50"/>
      <c r="H40" s="29"/>
      <c r="I40" s="50"/>
      <c r="J40" s="29"/>
      <c r="K40" s="29"/>
      <c r="L40" s="29"/>
      <c r="M40" s="51">
        <f>(I28+G28)/(E28)</f>
        <v>0.15610548533213175</v>
      </c>
      <c r="N40" s="29"/>
      <c r="O40" s="6"/>
    </row>
    <row r="41" spans="1:15" ht="15.75">
      <c r="A41" s="28"/>
      <c r="B41" s="29" t="s">
        <v>29</v>
      </c>
      <c r="C41" s="29"/>
      <c r="D41" s="29"/>
      <c r="E41" s="29"/>
      <c r="F41" s="29"/>
      <c r="G41" s="50"/>
      <c r="H41" s="29"/>
      <c r="I41" s="50"/>
      <c r="J41" s="29"/>
      <c r="K41" s="29"/>
      <c r="L41" s="29"/>
      <c r="M41" s="51">
        <f>(I30+G30)/(E30)</f>
        <v>0.15610548533213175</v>
      </c>
      <c r="N41" s="29"/>
      <c r="O41" s="6"/>
    </row>
    <row r="42" spans="1:15" ht="15.75">
      <c r="A42" s="28"/>
      <c r="B42" s="29" t="s">
        <v>30</v>
      </c>
      <c r="C42" s="29"/>
      <c r="D42" s="29"/>
      <c r="E42" s="29"/>
      <c r="F42" s="29"/>
      <c r="G42" s="29"/>
      <c r="H42" s="29"/>
      <c r="I42" s="29"/>
      <c r="J42" s="29"/>
      <c r="K42" s="37" t="s">
        <v>168</v>
      </c>
      <c r="L42" s="37" t="s">
        <v>216</v>
      </c>
      <c r="M42" s="38">
        <v>60336</v>
      </c>
      <c r="N42" s="29"/>
      <c r="O42" s="6"/>
    </row>
    <row r="43" spans="1:15" ht="15.75">
      <c r="A43" s="28"/>
      <c r="B43" s="29"/>
      <c r="C43" s="29"/>
      <c r="D43" s="29"/>
      <c r="E43" s="29"/>
      <c r="F43" s="29"/>
      <c r="G43" s="29"/>
      <c r="H43" s="29"/>
      <c r="I43" s="29"/>
      <c r="J43" s="29"/>
      <c r="K43" s="29"/>
      <c r="L43" s="29"/>
      <c r="M43" s="54"/>
      <c r="N43" s="29"/>
      <c r="O43" s="6"/>
    </row>
    <row r="44" spans="1:15" ht="15.75">
      <c r="A44" s="28"/>
      <c r="B44" s="29" t="s">
        <v>31</v>
      </c>
      <c r="C44" s="29"/>
      <c r="D44" s="29"/>
      <c r="E44" s="29"/>
      <c r="F44" s="29"/>
      <c r="G44" s="29"/>
      <c r="H44" s="29"/>
      <c r="I44" s="29"/>
      <c r="J44" s="29"/>
      <c r="K44" s="37"/>
      <c r="L44" s="37"/>
      <c r="M44" s="37" t="s">
        <v>219</v>
      </c>
      <c r="N44" s="29"/>
      <c r="O44" s="6"/>
    </row>
    <row r="45" spans="1:15" ht="15.75">
      <c r="A45" s="43"/>
      <c r="B45" s="32" t="s">
        <v>32</v>
      </c>
      <c r="C45" s="32"/>
      <c r="D45" s="32"/>
      <c r="E45" s="32"/>
      <c r="F45" s="32"/>
      <c r="G45" s="32"/>
      <c r="H45" s="32"/>
      <c r="I45" s="32"/>
      <c r="J45" s="32"/>
      <c r="K45" s="55"/>
      <c r="L45" s="55"/>
      <c r="M45" s="56">
        <v>38033</v>
      </c>
      <c r="N45" s="32"/>
      <c r="O45" s="6"/>
    </row>
    <row r="46" spans="1:15" ht="15.75">
      <c r="A46" s="28"/>
      <c r="B46" s="29" t="s">
        <v>33</v>
      </c>
      <c r="C46" s="29"/>
      <c r="D46" s="29"/>
      <c r="E46" s="29"/>
      <c r="F46" s="29"/>
      <c r="G46" s="29"/>
      <c r="H46" s="29"/>
      <c r="I46" s="31"/>
      <c r="J46" s="29">
        <f>M46-K46+1</f>
        <v>94</v>
      </c>
      <c r="K46" s="58">
        <v>37848</v>
      </c>
      <c r="L46" s="59"/>
      <c r="M46" s="58">
        <v>37941</v>
      </c>
      <c r="N46" s="29"/>
      <c r="O46" s="6"/>
    </row>
    <row r="47" spans="1:15" ht="15.75">
      <c r="A47" s="28"/>
      <c r="B47" s="29" t="s">
        <v>34</v>
      </c>
      <c r="C47" s="29"/>
      <c r="D47" s="29"/>
      <c r="E47" s="29"/>
      <c r="F47" s="29"/>
      <c r="G47" s="29"/>
      <c r="H47" s="29"/>
      <c r="I47" s="31"/>
      <c r="J47" s="29">
        <f>M47-K47+1</f>
        <v>91</v>
      </c>
      <c r="K47" s="58">
        <v>37942</v>
      </c>
      <c r="L47" s="59"/>
      <c r="M47" s="58">
        <v>38032</v>
      </c>
      <c r="N47" s="29"/>
      <c r="O47" s="6"/>
    </row>
    <row r="48" spans="1:15" ht="15.75">
      <c r="A48" s="28"/>
      <c r="B48" s="29" t="s">
        <v>35</v>
      </c>
      <c r="C48" s="29"/>
      <c r="D48" s="29"/>
      <c r="E48" s="29"/>
      <c r="F48" s="29"/>
      <c r="G48" s="29"/>
      <c r="H48" s="29"/>
      <c r="I48" s="29"/>
      <c r="J48" s="29"/>
      <c r="K48" s="58"/>
      <c r="L48" s="59"/>
      <c r="M48" s="58" t="s">
        <v>220</v>
      </c>
      <c r="N48" s="29"/>
      <c r="O48" s="6"/>
    </row>
    <row r="49" spans="1:15" ht="15.75">
      <c r="A49" s="28"/>
      <c r="B49" s="29" t="s">
        <v>36</v>
      </c>
      <c r="C49" s="29"/>
      <c r="D49" s="29"/>
      <c r="E49" s="29"/>
      <c r="F49" s="29"/>
      <c r="G49" s="29"/>
      <c r="H49" s="29"/>
      <c r="I49" s="29"/>
      <c r="J49" s="29"/>
      <c r="K49" s="58"/>
      <c r="L49" s="59"/>
      <c r="M49" s="58" t="s">
        <v>246</v>
      </c>
      <c r="N49" s="29"/>
      <c r="O49" s="6"/>
    </row>
    <row r="50" spans="1:15" ht="15.75">
      <c r="A50" s="28"/>
      <c r="B50" s="29" t="s">
        <v>37</v>
      </c>
      <c r="C50" s="29"/>
      <c r="D50" s="29"/>
      <c r="E50" s="29"/>
      <c r="F50" s="29"/>
      <c r="G50" s="29"/>
      <c r="H50" s="29"/>
      <c r="I50" s="29"/>
      <c r="J50" s="29"/>
      <c r="K50" s="58"/>
      <c r="L50" s="59"/>
      <c r="M50" s="58">
        <v>38020</v>
      </c>
      <c r="N50" s="29"/>
      <c r="O50" s="6"/>
    </row>
    <row r="51" spans="1:15" ht="15.75">
      <c r="A51" s="28"/>
      <c r="B51" s="29"/>
      <c r="C51" s="29"/>
      <c r="D51" s="29"/>
      <c r="E51" s="29"/>
      <c r="F51" s="29"/>
      <c r="G51" s="29"/>
      <c r="H51" s="29"/>
      <c r="I51" s="29"/>
      <c r="J51" s="29"/>
      <c r="K51" s="29"/>
      <c r="L51" s="29"/>
      <c r="M51" s="60"/>
      <c r="N51" s="29"/>
      <c r="O51" s="6"/>
    </row>
    <row r="52" spans="1:15" ht="15.75">
      <c r="A52" s="7"/>
      <c r="B52" s="9"/>
      <c r="C52" s="9"/>
      <c r="D52" s="9"/>
      <c r="E52" s="9"/>
      <c r="F52" s="9"/>
      <c r="G52" s="9"/>
      <c r="H52" s="9"/>
      <c r="I52" s="9"/>
      <c r="J52" s="9"/>
      <c r="K52" s="9"/>
      <c r="L52" s="9"/>
      <c r="M52" s="61"/>
      <c r="N52" s="9"/>
      <c r="O52" s="6"/>
    </row>
    <row r="53" spans="1:15" ht="16.5" thickBot="1">
      <c r="A53" s="134"/>
      <c r="B53" s="135" t="s">
        <v>245</v>
      </c>
      <c r="C53" s="136"/>
      <c r="D53" s="136"/>
      <c r="E53" s="136"/>
      <c r="F53" s="136"/>
      <c r="G53" s="136"/>
      <c r="H53" s="136"/>
      <c r="I53" s="136"/>
      <c r="J53" s="136"/>
      <c r="K53" s="136"/>
      <c r="L53" s="136"/>
      <c r="M53" s="137"/>
      <c r="N53" s="138"/>
      <c r="O53" s="6"/>
    </row>
    <row r="54" spans="1:15" ht="15.75">
      <c r="A54" s="2"/>
      <c r="B54" s="5"/>
      <c r="C54" s="5"/>
      <c r="D54" s="5"/>
      <c r="E54" s="5"/>
      <c r="F54" s="5"/>
      <c r="G54" s="5"/>
      <c r="H54" s="5"/>
      <c r="I54" s="5"/>
      <c r="J54" s="5"/>
      <c r="K54" s="5"/>
      <c r="L54" s="5"/>
      <c r="M54" s="62"/>
      <c r="N54" s="5"/>
      <c r="O54" s="6"/>
    </row>
    <row r="55" spans="1:15" ht="15" customHeight="1">
      <c r="A55" s="7"/>
      <c r="B55" s="63" t="s">
        <v>39</v>
      </c>
      <c r="C55" s="15"/>
      <c r="D55" s="15"/>
      <c r="E55" s="9"/>
      <c r="F55" s="9"/>
      <c r="G55" s="9"/>
      <c r="H55" s="9"/>
      <c r="I55" s="9"/>
      <c r="J55" s="9"/>
      <c r="K55" s="9"/>
      <c r="L55" s="9"/>
      <c r="M55" s="64"/>
      <c r="N55" s="9"/>
      <c r="O55" s="6"/>
    </row>
    <row r="56" spans="1:15" ht="15.75">
      <c r="A56" s="7"/>
      <c r="B56" s="15"/>
      <c r="C56" s="15"/>
      <c r="D56" s="15"/>
      <c r="E56" s="9"/>
      <c r="F56" s="9"/>
      <c r="G56" s="9"/>
      <c r="H56" s="9"/>
      <c r="I56" s="9"/>
      <c r="J56" s="9"/>
      <c r="K56" s="9"/>
      <c r="L56" s="9"/>
      <c r="M56" s="64"/>
      <c r="N56" s="9"/>
      <c r="O56" s="6"/>
    </row>
    <row r="57" spans="1:15" s="156" customFormat="1" ht="47.25">
      <c r="A57" s="150"/>
      <c r="B57" s="151" t="s">
        <v>40</v>
      </c>
      <c r="C57" s="152" t="s">
        <v>167</v>
      </c>
      <c r="D57" s="152"/>
      <c r="E57" s="152" t="s">
        <v>180</v>
      </c>
      <c r="F57" s="152"/>
      <c r="G57" s="152" t="s">
        <v>191</v>
      </c>
      <c r="H57" s="152"/>
      <c r="I57" s="152" t="s">
        <v>204</v>
      </c>
      <c r="J57" s="152"/>
      <c r="K57" s="152" t="s">
        <v>209</v>
      </c>
      <c r="L57" s="152"/>
      <c r="M57" s="153" t="s">
        <v>222</v>
      </c>
      <c r="N57" s="154"/>
      <c r="O57" s="155"/>
    </row>
    <row r="58" spans="1:15" ht="15.75">
      <c r="A58" s="28"/>
      <c r="B58" s="29" t="s">
        <v>41</v>
      </c>
      <c r="C58" s="65">
        <v>73021</v>
      </c>
      <c r="D58" s="65"/>
      <c r="E58" s="65">
        <v>104725</v>
      </c>
      <c r="F58" s="65"/>
      <c r="G58" s="65">
        <v>16214</v>
      </c>
      <c r="H58" s="65"/>
      <c r="I58" s="65">
        <v>10507</v>
      </c>
      <c r="J58" s="65"/>
      <c r="K58" s="65">
        <v>0</v>
      </c>
      <c r="L58" s="65"/>
      <c r="M58" s="66">
        <f>E58-G58+I58-K58</f>
        <v>99018</v>
      </c>
      <c r="N58" s="29"/>
      <c r="O58" s="6"/>
    </row>
    <row r="59" spans="1:15" ht="15.75">
      <c r="A59" s="28"/>
      <c r="B59" s="29" t="s">
        <v>42</v>
      </c>
      <c r="C59" s="65">
        <v>506</v>
      </c>
      <c r="D59" s="65"/>
      <c r="E59" s="65">
        <v>0</v>
      </c>
      <c r="F59" s="65"/>
      <c r="G59" s="65">
        <v>44</v>
      </c>
      <c r="H59" s="65"/>
      <c r="I59" s="65">
        <v>44</v>
      </c>
      <c r="J59" s="65"/>
      <c r="K59" s="65">
        <v>0</v>
      </c>
      <c r="L59" s="65"/>
      <c r="M59" s="66">
        <f>E59-G59+I59-K59</f>
        <v>0</v>
      </c>
      <c r="N59" s="29"/>
      <c r="O59" s="6"/>
    </row>
    <row r="60" spans="1:15" ht="15.75">
      <c r="A60" s="28"/>
      <c r="B60" s="29"/>
      <c r="C60" s="65"/>
      <c r="D60" s="65"/>
      <c r="E60" s="65"/>
      <c r="F60" s="65"/>
      <c r="G60" s="65"/>
      <c r="H60" s="65"/>
      <c r="I60" s="65"/>
      <c r="J60" s="65"/>
      <c r="K60" s="65"/>
      <c r="L60" s="65"/>
      <c r="M60" s="66"/>
      <c r="N60" s="29"/>
      <c r="O60" s="6"/>
    </row>
    <row r="61" spans="1:15" ht="15.75">
      <c r="A61" s="28"/>
      <c r="B61" s="29" t="s">
        <v>43</v>
      </c>
      <c r="C61" s="65">
        <f>SUM(C58:C60)</f>
        <v>73527</v>
      </c>
      <c r="D61" s="65"/>
      <c r="E61" s="65">
        <f>SUM(E58:E60)</f>
        <v>104725</v>
      </c>
      <c r="F61" s="65"/>
      <c r="G61" s="65">
        <f>SUM(G58:G60)</f>
        <v>16258</v>
      </c>
      <c r="H61" s="65"/>
      <c r="I61" s="65">
        <f>SUM(I58:I60)</f>
        <v>10551</v>
      </c>
      <c r="J61" s="65"/>
      <c r="K61" s="65">
        <f>SUM(K58:K60)</f>
        <v>0</v>
      </c>
      <c r="L61" s="65"/>
      <c r="M61" s="67">
        <f>SUM(M58:M60)</f>
        <v>99018</v>
      </c>
      <c r="N61" s="29"/>
      <c r="O61" s="6"/>
    </row>
    <row r="62" spans="1:15" ht="15.75">
      <c r="A62" s="28"/>
      <c r="B62" s="29"/>
      <c r="C62" s="65"/>
      <c r="D62" s="65"/>
      <c r="E62" s="65"/>
      <c r="F62" s="65"/>
      <c r="G62" s="65"/>
      <c r="H62" s="65"/>
      <c r="I62" s="65"/>
      <c r="J62" s="65"/>
      <c r="K62" s="65"/>
      <c r="L62" s="65"/>
      <c r="M62" s="67"/>
      <c r="N62" s="29"/>
      <c r="O62" s="6"/>
    </row>
    <row r="63" spans="1:15" ht="15.75">
      <c r="A63" s="7"/>
      <c r="B63" s="144" t="s">
        <v>44</v>
      </c>
      <c r="C63" s="68"/>
      <c r="D63" s="68"/>
      <c r="E63" s="68"/>
      <c r="F63" s="68"/>
      <c r="G63" s="69"/>
      <c r="H63" s="68"/>
      <c r="I63" s="68"/>
      <c r="J63" s="68"/>
      <c r="K63" s="68"/>
      <c r="L63" s="68"/>
      <c r="M63" s="70"/>
      <c r="N63" s="9"/>
      <c r="O63" s="6"/>
    </row>
    <row r="64" spans="1:15" ht="15.75">
      <c r="A64" s="7"/>
      <c r="B64" s="9"/>
      <c r="C64" s="68"/>
      <c r="D64" s="68"/>
      <c r="E64" s="68"/>
      <c r="F64" s="68"/>
      <c r="G64" s="68"/>
      <c r="H64" s="68"/>
      <c r="I64" s="68"/>
      <c r="J64" s="68"/>
      <c r="K64" s="68"/>
      <c r="L64" s="68"/>
      <c r="M64" s="70"/>
      <c r="N64" s="9"/>
      <c r="O64" s="6"/>
    </row>
    <row r="65" spans="1:15" ht="15.75">
      <c r="A65" s="28"/>
      <c r="B65" s="29" t="s">
        <v>41</v>
      </c>
      <c r="C65" s="65">
        <v>79997</v>
      </c>
      <c r="D65" s="65"/>
      <c r="E65" s="66">
        <v>79885</v>
      </c>
      <c r="F65" s="65"/>
      <c r="G65" s="65">
        <v>12876</v>
      </c>
      <c r="H65" s="65"/>
      <c r="I65" s="65">
        <v>2603</v>
      </c>
      <c r="J65" s="65"/>
      <c r="K65" s="65"/>
      <c r="L65" s="65"/>
      <c r="M65" s="66">
        <f>E65-G65+I65-K65</f>
        <v>69612</v>
      </c>
      <c r="N65" s="29"/>
      <c r="O65" s="6"/>
    </row>
    <row r="66" spans="1:15" ht="15.75">
      <c r="A66" s="28"/>
      <c r="B66" s="29" t="s">
        <v>42</v>
      </c>
      <c r="C66" s="65">
        <v>611</v>
      </c>
      <c r="D66" s="65"/>
      <c r="E66" s="66">
        <v>0</v>
      </c>
      <c r="F66" s="65"/>
      <c r="G66" s="65">
        <v>13</v>
      </c>
      <c r="H66" s="65"/>
      <c r="I66" s="65">
        <v>13</v>
      </c>
      <c r="J66" s="65"/>
      <c r="K66" s="65"/>
      <c r="L66" s="65"/>
      <c r="M66" s="66">
        <f>E66-G66+I66-K66</f>
        <v>0</v>
      </c>
      <c r="N66" s="29"/>
      <c r="O66" s="6"/>
    </row>
    <row r="67" spans="1:15" ht="15.75">
      <c r="A67" s="28"/>
      <c r="B67" s="65"/>
      <c r="C67" s="65"/>
      <c r="D67" s="65"/>
      <c r="E67" s="66"/>
      <c r="F67" s="65"/>
      <c r="G67" s="65"/>
      <c r="H67" s="65"/>
      <c r="I67" s="65"/>
      <c r="J67" s="65"/>
      <c r="K67" s="65"/>
      <c r="L67" s="65"/>
      <c r="M67" s="66"/>
      <c r="N67" s="29"/>
      <c r="O67" s="6"/>
    </row>
    <row r="68" spans="1:15" ht="15.75">
      <c r="A68" s="28"/>
      <c r="B68" s="29" t="s">
        <v>43</v>
      </c>
      <c r="C68" s="65">
        <f>SUM(C65:C67)</f>
        <v>80608</v>
      </c>
      <c r="D68" s="65"/>
      <c r="E68" s="65">
        <f>E65</f>
        <v>79885</v>
      </c>
      <c r="F68" s="65"/>
      <c r="G68" s="65">
        <f>SUM(G65:G67)</f>
        <v>12889</v>
      </c>
      <c r="H68" s="65"/>
      <c r="I68" s="65">
        <f>SUM(I65:I67)</f>
        <v>2616</v>
      </c>
      <c r="J68" s="65"/>
      <c r="K68" s="65">
        <f>SUM(K65:K67)</f>
        <v>0</v>
      </c>
      <c r="L68" s="65"/>
      <c r="M68" s="65">
        <f>SUM(M65:M67)</f>
        <v>69612</v>
      </c>
      <c r="N68" s="29"/>
      <c r="O68" s="6"/>
    </row>
    <row r="69" spans="1:15" ht="15.75">
      <c r="A69" s="28"/>
      <c r="B69" s="29"/>
      <c r="C69" s="65"/>
      <c r="D69" s="65"/>
      <c r="E69" s="67"/>
      <c r="F69" s="65"/>
      <c r="G69" s="65"/>
      <c r="H69" s="65"/>
      <c r="I69" s="65"/>
      <c r="J69" s="65"/>
      <c r="K69" s="65"/>
      <c r="L69" s="65"/>
      <c r="M69" s="67"/>
      <c r="N69" s="29"/>
      <c r="O69" s="6"/>
    </row>
    <row r="70" spans="1:15" ht="15.75">
      <c r="A70" s="28"/>
      <c r="B70" s="29" t="s">
        <v>45</v>
      </c>
      <c r="C70" s="65">
        <v>0</v>
      </c>
      <c r="D70" s="65"/>
      <c r="E70" s="65">
        <v>0</v>
      </c>
      <c r="F70" s="65"/>
      <c r="G70" s="65"/>
      <c r="H70" s="65"/>
      <c r="I70" s="65"/>
      <c r="J70" s="65"/>
      <c r="K70" s="65"/>
      <c r="L70" s="65"/>
      <c r="M70" s="65">
        <f>E70+G70</f>
        <v>0</v>
      </c>
      <c r="N70" s="29"/>
      <c r="O70" s="6"/>
    </row>
    <row r="71" spans="1:16" ht="15.75">
      <c r="A71" s="28"/>
      <c r="B71" s="29" t="s">
        <v>46</v>
      </c>
      <c r="C71" s="65">
        <v>0</v>
      </c>
      <c r="D71" s="65"/>
      <c r="E71" s="67">
        <v>2926</v>
      </c>
      <c r="F71" s="65"/>
      <c r="G71" s="65"/>
      <c r="H71" s="65"/>
      <c r="I71" s="65">
        <v>0</v>
      </c>
      <c r="J71" s="65"/>
      <c r="K71" s="65"/>
      <c r="L71" s="65"/>
      <c r="M71" s="67">
        <f>E71+I71</f>
        <v>2926</v>
      </c>
      <c r="N71" s="29"/>
      <c r="O71" s="6"/>
      <c r="P71" s="143"/>
    </row>
    <row r="72" spans="1:18" ht="15.75">
      <c r="A72" s="28"/>
      <c r="B72" s="29" t="s">
        <v>47</v>
      </c>
      <c r="C72" s="65">
        <v>40958</v>
      </c>
      <c r="D72" s="65"/>
      <c r="E72" s="67">
        <v>2861</v>
      </c>
      <c r="F72" s="65"/>
      <c r="G72" s="65">
        <f>G68+G61</f>
        <v>29147</v>
      </c>
      <c r="H72" s="65"/>
      <c r="I72" s="65">
        <f>-I68-I61</f>
        <v>-13167</v>
      </c>
      <c r="J72" s="65"/>
      <c r="K72" s="65"/>
      <c r="L72" s="65"/>
      <c r="M72" s="67">
        <f>E72+G88+I72</f>
        <v>18223</v>
      </c>
      <c r="N72" s="29"/>
      <c r="O72" s="6"/>
      <c r="P72" s="131"/>
      <c r="R72" s="132"/>
    </row>
    <row r="73" spans="1:16" ht="15.75">
      <c r="A73" s="28"/>
      <c r="B73" s="29" t="s">
        <v>48</v>
      </c>
      <c r="C73" s="65">
        <v>0</v>
      </c>
      <c r="D73" s="65"/>
      <c r="E73" s="67">
        <v>7622</v>
      </c>
      <c r="F73" s="65"/>
      <c r="G73" s="65"/>
      <c r="H73" s="65"/>
      <c r="I73" s="65">
        <v>-618</v>
      </c>
      <c r="J73" s="65"/>
      <c r="K73" s="65"/>
      <c r="L73" s="65"/>
      <c r="M73" s="67">
        <f>-I73+E73</f>
        <v>8240</v>
      </c>
      <c r="N73" s="29"/>
      <c r="O73" s="6"/>
      <c r="P73" s="132"/>
    </row>
    <row r="74" spans="1:20" ht="15.75">
      <c r="A74" s="28"/>
      <c r="B74" s="29" t="s">
        <v>49</v>
      </c>
      <c r="C74" s="65">
        <v>-95</v>
      </c>
      <c r="D74" s="65"/>
      <c r="E74" s="67">
        <v>-95</v>
      </c>
      <c r="F74" s="65"/>
      <c r="G74" s="65">
        <v>0</v>
      </c>
      <c r="H74" s="65"/>
      <c r="I74" s="65"/>
      <c r="J74" s="65"/>
      <c r="K74" s="65"/>
      <c r="L74" s="65"/>
      <c r="M74" s="67">
        <f>E74+G74</f>
        <v>-95</v>
      </c>
      <c r="N74" s="29"/>
      <c r="O74" s="6"/>
      <c r="P74" s="131"/>
      <c r="R74" s="131"/>
      <c r="T74" s="131"/>
    </row>
    <row r="75" spans="1:16" ht="15.75">
      <c r="A75" s="28"/>
      <c r="B75" s="29" t="s">
        <v>50</v>
      </c>
      <c r="C75" s="65">
        <v>0</v>
      </c>
      <c r="D75" s="65"/>
      <c r="E75" s="67">
        <v>0</v>
      </c>
      <c r="F75" s="65"/>
      <c r="G75" s="65"/>
      <c r="H75" s="65"/>
      <c r="I75" s="141"/>
      <c r="J75" s="65"/>
      <c r="K75" s="65"/>
      <c r="L75" s="65"/>
      <c r="M75" s="67">
        <v>0</v>
      </c>
      <c r="N75" s="29"/>
      <c r="O75" s="6"/>
      <c r="P75" s="132"/>
    </row>
    <row r="76" spans="1:20" ht="15.75">
      <c r="A76" s="28"/>
      <c r="B76" s="29" t="s">
        <v>19</v>
      </c>
      <c r="C76" s="67">
        <f>SUM(C68:C74)+C61</f>
        <v>194998</v>
      </c>
      <c r="D76" s="67"/>
      <c r="E76" s="67">
        <f>SUM(E68:E75)+E61</f>
        <v>197924</v>
      </c>
      <c r="F76" s="65"/>
      <c r="G76" s="65">
        <f>G72-G74</f>
        <v>29147</v>
      </c>
      <c r="H76" s="65"/>
      <c r="I76" s="65"/>
      <c r="J76" s="65"/>
      <c r="K76" s="65"/>
      <c r="L76" s="65"/>
      <c r="M76" s="67">
        <f>SUM(M68:M75)+M61</f>
        <v>197924</v>
      </c>
      <c r="N76" s="29"/>
      <c r="O76" s="6"/>
      <c r="P76" s="132"/>
      <c r="R76" s="131"/>
      <c r="T76" s="131"/>
    </row>
    <row r="77" spans="1:16" ht="15.75">
      <c r="A77" s="28"/>
      <c r="B77" s="65"/>
      <c r="C77" s="65"/>
      <c r="D77" s="65"/>
      <c r="E77" s="65"/>
      <c r="F77" s="65"/>
      <c r="G77" s="65"/>
      <c r="H77" s="65"/>
      <c r="I77" s="65"/>
      <c r="J77" s="65"/>
      <c r="K77" s="65"/>
      <c r="L77" s="65"/>
      <c r="M77" s="65"/>
      <c r="N77" s="29"/>
      <c r="O77" s="6"/>
      <c r="P77" s="132"/>
    </row>
    <row r="78" spans="1:16" ht="15.75">
      <c r="A78" s="7"/>
      <c r="B78" s="68"/>
      <c r="C78" s="9"/>
      <c r="D78" s="9"/>
      <c r="E78" s="9"/>
      <c r="F78" s="9"/>
      <c r="G78" s="20" t="s">
        <v>192</v>
      </c>
      <c r="H78" s="9"/>
      <c r="I78" s="9"/>
      <c r="J78" s="9"/>
      <c r="K78" s="23"/>
      <c r="L78" s="9"/>
      <c r="M78" s="20" t="s">
        <v>192</v>
      </c>
      <c r="N78" s="9"/>
      <c r="O78" s="6"/>
      <c r="P78" s="132"/>
    </row>
    <row r="79" spans="1:19" ht="15.75">
      <c r="A79" s="7"/>
      <c r="B79" s="63" t="s">
        <v>51</v>
      </c>
      <c r="C79" s="17"/>
      <c r="D79" s="17" t="s">
        <v>178</v>
      </c>
      <c r="E79" s="17" t="s">
        <v>181</v>
      </c>
      <c r="F79" s="17"/>
      <c r="G79" s="20" t="s">
        <v>193</v>
      </c>
      <c r="H79" s="17"/>
      <c r="I79" s="17" t="s">
        <v>178</v>
      </c>
      <c r="J79" s="20"/>
      <c r="K79" s="20" t="s">
        <v>181</v>
      </c>
      <c r="L79" s="20"/>
      <c r="M79" s="20" t="s">
        <v>223</v>
      </c>
      <c r="N79" s="17"/>
      <c r="O79" s="6"/>
      <c r="P79" s="131"/>
      <c r="R79" s="132"/>
      <c r="S79" s="131"/>
    </row>
    <row r="80" spans="1:15" ht="15.75">
      <c r="A80" s="28"/>
      <c r="B80" s="29" t="s">
        <v>52</v>
      </c>
      <c r="C80" s="29"/>
      <c r="D80" s="29">
        <v>0</v>
      </c>
      <c r="E80" s="29">
        <v>0</v>
      </c>
      <c r="F80" s="29"/>
      <c r="G80" s="65">
        <f>SUM(C80:E80)</f>
        <v>0</v>
      </c>
      <c r="H80" s="29"/>
      <c r="I80" s="29">
        <v>0</v>
      </c>
      <c r="J80" s="29"/>
      <c r="K80" s="65">
        <f>SUM(G80:I80)</f>
        <v>0</v>
      </c>
      <c r="L80" s="29"/>
      <c r="M80" s="66">
        <v>0</v>
      </c>
      <c r="N80" s="29"/>
      <c r="O80" s="6"/>
    </row>
    <row r="81" spans="1:15" ht="15.75">
      <c r="A81" s="28"/>
      <c r="B81" s="29" t="s">
        <v>53</v>
      </c>
      <c r="C81" s="53"/>
      <c r="D81" s="29">
        <v>16181</v>
      </c>
      <c r="E81" s="29">
        <v>12291</v>
      </c>
      <c r="F81" s="29"/>
      <c r="G81" s="65">
        <f>E81+D81</f>
        <v>28472</v>
      </c>
      <c r="H81" s="29"/>
      <c r="I81" s="29"/>
      <c r="J81" s="29"/>
      <c r="K81" s="65">
        <v>0</v>
      </c>
      <c r="L81" s="29"/>
      <c r="M81" s="66"/>
      <c r="N81" s="29"/>
      <c r="O81" s="6"/>
    </row>
    <row r="82" spans="1:15" ht="15.75">
      <c r="A82" s="28"/>
      <c r="B82" s="29" t="s">
        <v>54</v>
      </c>
      <c r="C82" s="29"/>
      <c r="D82" s="29"/>
      <c r="E82" s="29"/>
      <c r="F82" s="29"/>
      <c r="G82" s="65"/>
      <c r="H82" s="29"/>
      <c r="I82" s="29">
        <v>3335</v>
      </c>
      <c r="J82" s="29"/>
      <c r="K82" s="65">
        <v>2802</v>
      </c>
      <c r="L82" s="29"/>
      <c r="M82" s="66">
        <f>K82+I82</f>
        <v>6137</v>
      </c>
      <c r="N82" s="29"/>
      <c r="O82" s="6"/>
    </row>
    <row r="83" spans="1:15" ht="15.75">
      <c r="A83" s="28"/>
      <c r="B83" s="29" t="s">
        <v>55</v>
      </c>
      <c r="C83" s="29"/>
      <c r="D83" s="29"/>
      <c r="E83" s="29"/>
      <c r="F83" s="29"/>
      <c r="G83" s="65"/>
      <c r="H83" s="29"/>
      <c r="I83" s="29"/>
      <c r="J83" s="29"/>
      <c r="K83" s="65"/>
      <c r="L83" s="29"/>
      <c r="M83" s="66">
        <v>192</v>
      </c>
      <c r="N83" s="29"/>
      <c r="O83" s="6"/>
    </row>
    <row r="84" spans="1:20" ht="15.75">
      <c r="A84" s="28"/>
      <c r="B84" s="29" t="s">
        <v>56</v>
      </c>
      <c r="C84" s="29"/>
      <c r="D84" s="29"/>
      <c r="E84" s="29"/>
      <c r="F84" s="29"/>
      <c r="G84" s="65"/>
      <c r="H84" s="29"/>
      <c r="I84" s="29"/>
      <c r="J84" s="29"/>
      <c r="K84" s="65"/>
      <c r="L84" s="29"/>
      <c r="M84" s="66">
        <v>0</v>
      </c>
      <c r="N84" s="29"/>
      <c r="O84" s="6"/>
      <c r="P84" s="132"/>
      <c r="R84" s="132"/>
      <c r="T84" s="132"/>
    </row>
    <row r="85" spans="1:20" ht="15.75">
      <c r="A85" s="28"/>
      <c r="B85" s="29" t="s">
        <v>57</v>
      </c>
      <c r="C85" s="29"/>
      <c r="D85" s="29"/>
      <c r="E85" s="29"/>
      <c r="F85" s="29"/>
      <c r="G85" s="65"/>
      <c r="H85" s="29"/>
      <c r="I85" s="29"/>
      <c r="J85" s="29"/>
      <c r="K85" s="65"/>
      <c r="L85" s="29"/>
      <c r="M85" s="66">
        <v>0</v>
      </c>
      <c r="N85" s="29"/>
      <c r="O85" s="6"/>
      <c r="P85" s="132"/>
      <c r="R85" s="132"/>
      <c r="T85" s="132"/>
    </row>
    <row r="86" spans="1:15" ht="15.75">
      <c r="A86" s="28"/>
      <c r="B86" s="29" t="s">
        <v>58</v>
      </c>
      <c r="C86" s="29"/>
      <c r="D86" s="65">
        <f>SUM(D80:D85)</f>
        <v>16181</v>
      </c>
      <c r="E86" s="65">
        <f>SUM(E80:E85)</f>
        <v>12291</v>
      </c>
      <c r="F86" s="29"/>
      <c r="G86" s="65">
        <f>SUM(G80:G85)</f>
        <v>28472</v>
      </c>
      <c r="H86" s="29"/>
      <c r="I86" s="65">
        <f>SUM(I80:I85)</f>
        <v>3335</v>
      </c>
      <c r="J86" s="29"/>
      <c r="K86" s="65">
        <f>SUM(K80:K85)</f>
        <v>2802</v>
      </c>
      <c r="L86" s="29"/>
      <c r="M86" s="67">
        <f>SUM(M80:M85)</f>
        <v>6329</v>
      </c>
      <c r="N86" s="29"/>
      <c r="O86" s="6"/>
    </row>
    <row r="87" spans="1:20" ht="15.75">
      <c r="A87" s="28"/>
      <c r="B87" s="29" t="s">
        <v>59</v>
      </c>
      <c r="C87" s="29"/>
      <c r="D87" s="65">
        <f>G59</f>
        <v>44</v>
      </c>
      <c r="E87" s="65">
        <f>G66</f>
        <v>13</v>
      </c>
      <c r="F87" s="29"/>
      <c r="G87" s="65">
        <f>E87+D87</f>
        <v>57</v>
      </c>
      <c r="H87" s="29"/>
      <c r="I87" s="65">
        <v>0</v>
      </c>
      <c r="J87" s="29"/>
      <c r="K87" s="65">
        <v>0</v>
      </c>
      <c r="L87" s="29"/>
      <c r="M87" s="66">
        <f>-G87</f>
        <v>-57</v>
      </c>
      <c r="N87" s="29"/>
      <c r="O87" s="6"/>
      <c r="P87" s="132"/>
      <c r="R87" s="132"/>
      <c r="T87" s="132"/>
    </row>
    <row r="88" spans="1:15" ht="15.75">
      <c r="A88" s="28"/>
      <c r="B88" s="29" t="s">
        <v>60</v>
      </c>
      <c r="C88" s="29"/>
      <c r="D88" s="65">
        <f>D86+D87</f>
        <v>16225</v>
      </c>
      <c r="E88" s="65">
        <f>E86+E87</f>
        <v>12304</v>
      </c>
      <c r="F88" s="29"/>
      <c r="G88" s="65">
        <f>G86+G87</f>
        <v>28529</v>
      </c>
      <c r="H88" s="29"/>
      <c r="I88" s="65">
        <f>I86+I87</f>
        <v>3335</v>
      </c>
      <c r="J88" s="29"/>
      <c r="K88" s="65">
        <f>K86+K87</f>
        <v>2802</v>
      </c>
      <c r="L88" s="29"/>
      <c r="M88" s="67">
        <f>M86+M87</f>
        <v>6272</v>
      </c>
      <c r="N88" s="29"/>
      <c r="O88" s="6"/>
    </row>
    <row r="89" spans="1:15" ht="15.75">
      <c r="A89" s="28"/>
      <c r="B89" s="157" t="s">
        <v>61</v>
      </c>
      <c r="C89" s="72"/>
      <c r="D89" s="72"/>
      <c r="E89" s="29"/>
      <c r="F89" s="29"/>
      <c r="G89" s="29"/>
      <c r="H89" s="29"/>
      <c r="I89" s="29"/>
      <c r="J89" s="29"/>
      <c r="K89" s="65"/>
      <c r="L89" s="29"/>
      <c r="M89" s="66"/>
      <c r="N89" s="29"/>
      <c r="O89" s="6"/>
    </row>
    <row r="90" spans="1:15" ht="15.75">
      <c r="A90" s="28">
        <v>1</v>
      </c>
      <c r="B90" s="29" t="s">
        <v>62</v>
      </c>
      <c r="C90" s="29"/>
      <c r="D90" s="29"/>
      <c r="E90" s="29"/>
      <c r="F90" s="29"/>
      <c r="G90" s="29"/>
      <c r="H90" s="29"/>
      <c r="I90" s="29"/>
      <c r="J90" s="29"/>
      <c r="K90" s="29"/>
      <c r="L90" s="29"/>
      <c r="M90" s="66">
        <v>-4</v>
      </c>
      <c r="N90" s="29"/>
      <c r="O90" s="6"/>
    </row>
    <row r="91" spans="1:15" ht="15.75">
      <c r="A91" s="28">
        <v>2</v>
      </c>
      <c r="B91" s="29" t="s">
        <v>63</v>
      </c>
      <c r="C91" s="29"/>
      <c r="D91" s="29"/>
      <c r="E91" s="29"/>
      <c r="F91" s="29"/>
      <c r="G91" s="29"/>
      <c r="H91" s="29"/>
      <c r="I91" s="29"/>
      <c r="J91" s="29"/>
      <c r="K91" s="29"/>
      <c r="L91" s="29"/>
      <c r="M91" s="66">
        <v>-303</v>
      </c>
      <c r="N91" s="29"/>
      <c r="O91" s="6"/>
    </row>
    <row r="92" spans="1:15" ht="15.75">
      <c r="A92" s="28">
        <v>3</v>
      </c>
      <c r="B92" s="29" t="s">
        <v>64</v>
      </c>
      <c r="C92" s="29"/>
      <c r="D92" s="29"/>
      <c r="E92" s="29"/>
      <c r="F92" s="29"/>
      <c r="G92" s="29"/>
      <c r="H92" s="29"/>
      <c r="I92" s="29"/>
      <c r="J92" s="29"/>
      <c r="K92" s="29"/>
      <c r="L92" s="29"/>
      <c r="M92" s="66">
        <v>-1831</v>
      </c>
      <c r="N92" s="29"/>
      <c r="O92" s="6"/>
    </row>
    <row r="93" spans="1:15" ht="15.75">
      <c r="A93" s="28">
        <v>4</v>
      </c>
      <c r="B93" s="29" t="s">
        <v>227</v>
      </c>
      <c r="C93" s="29"/>
      <c r="D93" s="29"/>
      <c r="E93" s="29"/>
      <c r="F93" s="29"/>
      <c r="G93" s="29"/>
      <c r="H93" s="29"/>
      <c r="I93" s="29"/>
      <c r="J93" s="29"/>
      <c r="K93" s="29"/>
      <c r="L93" s="29"/>
      <c r="M93" s="66">
        <v>-37</v>
      </c>
      <c r="N93" s="29"/>
      <c r="O93" s="6"/>
    </row>
    <row r="94" spans="1:15" ht="15.75">
      <c r="A94" s="28">
        <v>4</v>
      </c>
      <c r="B94" s="29" t="s">
        <v>65</v>
      </c>
      <c r="C94" s="29"/>
      <c r="D94" s="29"/>
      <c r="E94" s="29"/>
      <c r="F94" s="29"/>
      <c r="G94" s="29"/>
      <c r="H94" s="29"/>
      <c r="I94" s="29"/>
      <c r="J94" s="29"/>
      <c r="K94" s="29"/>
      <c r="L94" s="29"/>
      <c r="M94" s="66">
        <v>-5</v>
      </c>
      <c r="N94" s="29"/>
      <c r="O94" s="6"/>
    </row>
    <row r="95" spans="1:15" ht="15.75">
      <c r="A95" s="28">
        <v>5</v>
      </c>
      <c r="B95" s="29" t="s">
        <v>66</v>
      </c>
      <c r="C95" s="29"/>
      <c r="D95" s="29"/>
      <c r="E95" s="29"/>
      <c r="F95" s="29"/>
      <c r="G95" s="29"/>
      <c r="H95" s="29"/>
      <c r="I95" s="29"/>
      <c r="J95" s="29"/>
      <c r="K95" s="29"/>
      <c r="L95" s="29"/>
      <c r="M95" s="66">
        <v>-197</v>
      </c>
      <c r="N95" s="29"/>
      <c r="O95" s="6"/>
    </row>
    <row r="96" spans="1:15" ht="15.75">
      <c r="A96" s="28">
        <v>6</v>
      </c>
      <c r="B96" s="29" t="s">
        <v>67</v>
      </c>
      <c r="C96" s="29"/>
      <c r="D96" s="29"/>
      <c r="E96" s="29"/>
      <c r="F96" s="29"/>
      <c r="G96" s="29"/>
      <c r="H96" s="29"/>
      <c r="I96" s="29"/>
      <c r="J96" s="29"/>
      <c r="K96" s="29"/>
      <c r="L96" s="29"/>
      <c r="M96" s="66">
        <v>-140</v>
      </c>
      <c r="N96" s="29"/>
      <c r="O96" s="6"/>
    </row>
    <row r="97" spans="1:15" ht="15.75">
      <c r="A97" s="28">
        <v>7</v>
      </c>
      <c r="B97" s="29" t="s">
        <v>68</v>
      </c>
      <c r="C97" s="29"/>
      <c r="D97" s="29"/>
      <c r="E97" s="29"/>
      <c r="F97" s="29"/>
      <c r="G97" s="29"/>
      <c r="H97" s="29"/>
      <c r="I97" s="29"/>
      <c r="J97" s="29"/>
      <c r="K97" s="29"/>
      <c r="L97" s="29"/>
      <c r="M97" s="66">
        <v>0</v>
      </c>
      <c r="N97" s="29"/>
      <c r="O97" s="6"/>
    </row>
    <row r="98" spans="1:15" ht="15.75">
      <c r="A98" s="28">
        <v>8</v>
      </c>
      <c r="B98" s="29" t="s">
        <v>69</v>
      </c>
      <c r="C98" s="29"/>
      <c r="D98" s="29"/>
      <c r="E98" s="29"/>
      <c r="F98" s="29"/>
      <c r="G98" s="29"/>
      <c r="H98" s="29"/>
      <c r="I98" s="29"/>
      <c r="J98" s="29"/>
      <c r="K98" s="65">
        <f>-M98</f>
        <v>618</v>
      </c>
      <c r="L98" s="29"/>
      <c r="M98" s="66">
        <f>I73</f>
        <v>-618</v>
      </c>
      <c r="N98" s="29"/>
      <c r="O98" s="6"/>
    </row>
    <row r="99" spans="1:15" ht="15.75">
      <c r="A99" s="28">
        <v>9</v>
      </c>
      <c r="B99" s="29" t="s">
        <v>46</v>
      </c>
      <c r="C99" s="29"/>
      <c r="D99" s="29"/>
      <c r="E99" s="29"/>
      <c r="F99" s="29"/>
      <c r="G99" s="29"/>
      <c r="H99" s="29"/>
      <c r="I99" s="29"/>
      <c r="J99" s="29"/>
      <c r="K99" s="65">
        <f>-M99</f>
        <v>0</v>
      </c>
      <c r="L99" s="29"/>
      <c r="M99" s="66">
        <v>0</v>
      </c>
      <c r="N99" s="29"/>
      <c r="O99" s="6"/>
    </row>
    <row r="100" spans="1:15" ht="15.75">
      <c r="A100" s="28">
        <v>10</v>
      </c>
      <c r="B100" s="29" t="s">
        <v>228</v>
      </c>
      <c r="C100" s="29"/>
      <c r="D100" s="29"/>
      <c r="E100" s="29"/>
      <c r="F100" s="29"/>
      <c r="G100" s="29"/>
      <c r="H100" s="29"/>
      <c r="I100" s="29"/>
      <c r="J100" s="29"/>
      <c r="K100" s="29"/>
      <c r="L100" s="29"/>
      <c r="M100" s="66">
        <v>-245</v>
      </c>
      <c r="N100" s="29"/>
      <c r="O100" s="6"/>
    </row>
    <row r="101" spans="1:15" ht="15.75">
      <c r="A101" s="28">
        <v>11</v>
      </c>
      <c r="B101" s="29" t="s">
        <v>71</v>
      </c>
      <c r="C101" s="29"/>
      <c r="D101" s="29"/>
      <c r="E101" s="29"/>
      <c r="F101" s="29"/>
      <c r="G101" s="29"/>
      <c r="H101" s="29"/>
      <c r="I101" s="29"/>
      <c r="J101" s="29"/>
      <c r="K101" s="29"/>
      <c r="L101" s="29"/>
      <c r="M101" s="66">
        <f>SUM(M88:M100)*-1</f>
        <v>-2892</v>
      </c>
      <c r="N101" s="29"/>
      <c r="O101" s="6"/>
    </row>
    <row r="102" spans="1:16" ht="15.75">
      <c r="A102" s="28"/>
      <c r="B102" s="157" t="s">
        <v>72</v>
      </c>
      <c r="C102" s="72"/>
      <c r="D102" s="72"/>
      <c r="E102" s="29"/>
      <c r="F102" s="29"/>
      <c r="G102" s="29"/>
      <c r="H102" s="29"/>
      <c r="I102" s="29"/>
      <c r="J102" s="29"/>
      <c r="K102" s="29"/>
      <c r="L102" s="29"/>
      <c r="M102" s="73"/>
      <c r="N102" s="29"/>
      <c r="O102" s="6"/>
      <c r="P102" s="132"/>
    </row>
    <row r="103" spans="1:15" ht="15.75">
      <c r="A103" s="28"/>
      <c r="B103" s="74" t="s">
        <v>73</v>
      </c>
      <c r="C103" s="72"/>
      <c r="D103" s="72"/>
      <c r="E103" s="29"/>
      <c r="F103" s="29"/>
      <c r="G103" s="29"/>
      <c r="H103" s="29"/>
      <c r="I103" s="29"/>
      <c r="J103" s="29"/>
      <c r="K103" s="65">
        <f>E72</f>
        <v>2861</v>
      </c>
      <c r="L103" s="29"/>
      <c r="M103" s="73"/>
      <c r="N103" s="29"/>
      <c r="O103" s="6"/>
    </row>
    <row r="104" spans="1:15" ht="15.75">
      <c r="A104" s="28"/>
      <c r="B104" s="74" t="s">
        <v>74</v>
      </c>
      <c r="C104" s="72"/>
      <c r="D104" s="72"/>
      <c r="E104" s="29"/>
      <c r="F104" s="29"/>
      <c r="G104" s="29"/>
      <c r="H104" s="29"/>
      <c r="I104" s="29"/>
      <c r="J104" s="29"/>
      <c r="K104" s="65">
        <f>G88</f>
        <v>28529</v>
      </c>
      <c r="L104" s="29"/>
      <c r="M104" s="73"/>
      <c r="N104" s="29"/>
      <c r="O104" s="6"/>
    </row>
    <row r="105" spans="1:15" ht="15.75">
      <c r="A105" s="142"/>
      <c r="B105" s="29" t="s">
        <v>75</v>
      </c>
      <c r="C105" s="72"/>
      <c r="D105" s="72"/>
      <c r="E105" s="29"/>
      <c r="F105" s="29"/>
      <c r="G105" s="29"/>
      <c r="H105" s="29"/>
      <c r="I105" s="29"/>
      <c r="J105" s="29"/>
      <c r="K105" s="65">
        <f>-I68-I61</f>
        <v>-13167</v>
      </c>
      <c r="L105" s="29"/>
      <c r="M105" s="73"/>
      <c r="N105" s="29"/>
      <c r="O105" s="6"/>
    </row>
    <row r="106" spans="1:15" ht="15.75">
      <c r="A106" s="28"/>
      <c r="B106" s="29" t="s">
        <v>76</v>
      </c>
      <c r="C106" s="72"/>
      <c r="D106" s="72"/>
      <c r="E106" s="29"/>
      <c r="F106" s="29"/>
      <c r="G106" s="29"/>
      <c r="H106" s="29"/>
      <c r="I106" s="29"/>
      <c r="J106" s="29"/>
      <c r="K106" s="65">
        <v>0</v>
      </c>
      <c r="L106" s="65"/>
      <c r="M106" s="66"/>
      <c r="N106" s="29"/>
      <c r="O106" s="6"/>
    </row>
    <row r="107" spans="1:15" ht="15.75">
      <c r="A107" s="28"/>
      <c r="B107" s="29" t="s">
        <v>77</v>
      </c>
      <c r="C107" s="29"/>
      <c r="D107" s="29"/>
      <c r="E107" s="29"/>
      <c r="F107" s="29"/>
      <c r="G107" s="29"/>
      <c r="H107" s="29"/>
      <c r="I107" s="29"/>
      <c r="J107" s="29"/>
      <c r="K107" s="65">
        <v>0</v>
      </c>
      <c r="L107" s="65"/>
      <c r="M107" s="66"/>
      <c r="N107" s="29"/>
      <c r="O107" s="6"/>
    </row>
    <row r="108" spans="1:15" ht="15.75">
      <c r="A108" s="28"/>
      <c r="B108" s="29" t="s">
        <v>78</v>
      </c>
      <c r="C108" s="29"/>
      <c r="D108" s="29"/>
      <c r="E108" s="29"/>
      <c r="F108" s="29"/>
      <c r="G108" s="29"/>
      <c r="H108" s="29"/>
      <c r="I108" s="29"/>
      <c r="J108" s="29"/>
      <c r="K108" s="65">
        <v>0</v>
      </c>
      <c r="L108" s="65"/>
      <c r="M108" s="66"/>
      <c r="N108" s="29"/>
      <c r="O108" s="6"/>
    </row>
    <row r="109" spans="1:15" ht="15.75">
      <c r="A109" s="28"/>
      <c r="B109" s="29" t="s">
        <v>79</v>
      </c>
      <c r="C109" s="29"/>
      <c r="D109" s="29"/>
      <c r="E109" s="29"/>
      <c r="F109" s="29"/>
      <c r="G109" s="29"/>
      <c r="H109" s="29"/>
      <c r="I109" s="29"/>
      <c r="J109" s="29"/>
      <c r="K109" s="65">
        <v>0</v>
      </c>
      <c r="L109" s="65"/>
      <c r="M109" s="66"/>
      <c r="N109" s="29"/>
      <c r="O109" s="6"/>
    </row>
    <row r="110" spans="1:15" ht="15.75">
      <c r="A110" s="28"/>
      <c r="B110" s="29" t="s">
        <v>80</v>
      </c>
      <c r="C110" s="29"/>
      <c r="D110" s="29"/>
      <c r="E110" s="29"/>
      <c r="F110" s="29"/>
      <c r="G110" s="29"/>
      <c r="H110" s="29"/>
      <c r="I110" s="29"/>
      <c r="J110" s="29"/>
      <c r="K110" s="65">
        <v>0</v>
      </c>
      <c r="L110" s="65"/>
      <c r="M110" s="66"/>
      <c r="N110" s="29"/>
      <c r="O110" s="6"/>
    </row>
    <row r="111" spans="1:15" ht="15.75">
      <c r="A111" s="28"/>
      <c r="B111" s="29" t="s">
        <v>81</v>
      </c>
      <c r="C111" s="29"/>
      <c r="D111" s="29"/>
      <c r="E111" s="29"/>
      <c r="F111" s="29"/>
      <c r="G111" s="29"/>
      <c r="H111" s="29"/>
      <c r="I111" s="29"/>
      <c r="J111" s="29"/>
      <c r="K111" s="65">
        <v>0</v>
      </c>
      <c r="L111" s="65"/>
      <c r="M111" s="66"/>
      <c r="N111" s="29"/>
      <c r="O111" s="6"/>
    </row>
    <row r="112" spans="1:15" ht="15.75">
      <c r="A112" s="28"/>
      <c r="B112" s="29" t="s">
        <v>82</v>
      </c>
      <c r="C112" s="29"/>
      <c r="D112" s="29"/>
      <c r="E112" s="29"/>
      <c r="F112" s="29"/>
      <c r="G112" s="29"/>
      <c r="H112" s="29"/>
      <c r="I112" s="29"/>
      <c r="J112" s="29"/>
      <c r="K112" s="65">
        <f>SUM(K105:K111)</f>
        <v>-13167</v>
      </c>
      <c r="L112" s="65"/>
      <c r="M112" s="65">
        <f>SUM(M89:M101)</f>
        <v>-6272</v>
      </c>
      <c r="N112" s="29"/>
      <c r="O112" s="6"/>
    </row>
    <row r="113" spans="1:15" ht="15.75">
      <c r="A113" s="28"/>
      <c r="B113" s="29" t="s">
        <v>83</v>
      </c>
      <c r="C113" s="29"/>
      <c r="D113" s="29"/>
      <c r="E113" s="29"/>
      <c r="F113" s="29"/>
      <c r="G113" s="29"/>
      <c r="H113" s="29"/>
      <c r="I113" s="29"/>
      <c r="J113" s="29"/>
      <c r="K113" s="65">
        <f>SUM(K103:K111)+SUM(K98:K99)</f>
        <v>18841</v>
      </c>
      <c r="L113" s="65"/>
      <c r="M113" s="65">
        <f>M88+M112</f>
        <v>0</v>
      </c>
      <c r="N113" s="29"/>
      <c r="O113" s="6"/>
    </row>
    <row r="114" spans="1:15" ht="15.75">
      <c r="A114" s="28"/>
      <c r="B114" s="29"/>
      <c r="C114" s="29"/>
      <c r="D114" s="29"/>
      <c r="E114" s="29"/>
      <c r="F114" s="29"/>
      <c r="G114" s="29"/>
      <c r="H114" s="29"/>
      <c r="I114" s="29"/>
      <c r="J114" s="29"/>
      <c r="K114" s="65"/>
      <c r="L114" s="65"/>
      <c r="M114" s="65"/>
      <c r="N114" s="29"/>
      <c r="O114" s="6"/>
    </row>
    <row r="115" spans="1:15" ht="15.75">
      <c r="A115" s="7"/>
      <c r="B115" s="14"/>
      <c r="C115" s="9"/>
      <c r="D115" s="9"/>
      <c r="E115" s="9"/>
      <c r="F115" s="9"/>
      <c r="G115" s="9"/>
      <c r="H115" s="9"/>
      <c r="I115" s="9"/>
      <c r="J115" s="9"/>
      <c r="K115" s="68"/>
      <c r="L115" s="68"/>
      <c r="M115" s="68"/>
      <c r="N115" s="9"/>
      <c r="O115" s="6"/>
    </row>
    <row r="116" spans="1:15" ht="16.5" thickBot="1">
      <c r="A116" s="134"/>
      <c r="B116" s="135" t="str">
        <f>B53</f>
        <v>PASF1 INVESTOR REPORT QUARTER ENDING JANUARY 2004</v>
      </c>
      <c r="C116" s="136"/>
      <c r="D116" s="136"/>
      <c r="E116" s="136"/>
      <c r="F116" s="136"/>
      <c r="G116" s="136"/>
      <c r="H116" s="136"/>
      <c r="I116" s="136"/>
      <c r="J116" s="136"/>
      <c r="K116" s="139"/>
      <c r="L116" s="139"/>
      <c r="M116" s="139"/>
      <c r="N116" s="138"/>
      <c r="O116" s="6"/>
    </row>
    <row r="117" spans="1:15" ht="15.75">
      <c r="A117" s="2"/>
      <c r="B117" s="5"/>
      <c r="C117" s="5"/>
      <c r="D117" s="5"/>
      <c r="E117" s="5"/>
      <c r="F117" s="5"/>
      <c r="G117" s="5"/>
      <c r="H117" s="5"/>
      <c r="I117" s="5"/>
      <c r="J117" s="5"/>
      <c r="K117" s="76"/>
      <c r="L117" s="76"/>
      <c r="M117" s="76"/>
      <c r="N117" s="5"/>
      <c r="O117" s="6"/>
    </row>
    <row r="118" spans="1:15" ht="15.75">
      <c r="A118" s="7"/>
      <c r="B118" s="9"/>
      <c r="C118" s="9"/>
      <c r="D118" s="9"/>
      <c r="E118" s="9"/>
      <c r="F118" s="9"/>
      <c r="G118" s="9"/>
      <c r="H118" s="9"/>
      <c r="I118" s="9"/>
      <c r="J118" s="9"/>
      <c r="K118" s="9"/>
      <c r="L118" s="9"/>
      <c r="M118" s="64"/>
      <c r="N118" s="9"/>
      <c r="O118" s="6"/>
    </row>
    <row r="119" spans="1:15" ht="15.75">
      <c r="A119" s="77"/>
      <c r="B119" s="78"/>
      <c r="C119" s="78"/>
      <c r="D119" s="78"/>
      <c r="E119" s="78"/>
      <c r="F119" s="78"/>
      <c r="G119" s="78"/>
      <c r="H119" s="78"/>
      <c r="I119" s="78"/>
      <c r="J119" s="78"/>
      <c r="K119" s="78"/>
      <c r="L119" s="78"/>
      <c r="M119" s="79"/>
      <c r="N119" s="78"/>
      <c r="O119" s="6"/>
    </row>
    <row r="120" spans="1:15" ht="15.75">
      <c r="A120" s="77"/>
      <c r="B120" s="80" t="s">
        <v>84</v>
      </c>
      <c r="C120" s="78"/>
      <c r="D120" s="78"/>
      <c r="E120" s="78"/>
      <c r="F120" s="78"/>
      <c r="G120" s="78"/>
      <c r="H120" s="78"/>
      <c r="I120" s="78"/>
      <c r="J120" s="78"/>
      <c r="K120" s="78"/>
      <c r="L120" s="78"/>
      <c r="M120" s="79"/>
      <c r="N120" s="81"/>
      <c r="O120" s="6"/>
    </row>
    <row r="121" spans="1:15" ht="15.75">
      <c r="A121" s="77"/>
      <c r="B121" s="78"/>
      <c r="C121" s="78"/>
      <c r="D121" s="78"/>
      <c r="E121" s="78"/>
      <c r="F121" s="78"/>
      <c r="G121" s="78"/>
      <c r="H121" s="78"/>
      <c r="I121" s="78"/>
      <c r="J121" s="78"/>
      <c r="K121" s="78"/>
      <c r="L121" s="78"/>
      <c r="M121" s="79"/>
      <c r="N121" s="78"/>
      <c r="O121" s="6"/>
    </row>
    <row r="122" spans="1:15" ht="15.75">
      <c r="A122" s="7"/>
      <c r="B122" s="158" t="s">
        <v>85</v>
      </c>
      <c r="C122" s="15"/>
      <c r="D122" s="15"/>
      <c r="E122" s="9"/>
      <c r="F122" s="9"/>
      <c r="G122" s="9"/>
      <c r="H122" s="9"/>
      <c r="I122" s="9"/>
      <c r="J122" s="9"/>
      <c r="K122" s="9"/>
      <c r="L122" s="9"/>
      <c r="M122" s="64"/>
      <c r="N122" s="9"/>
      <c r="O122" s="6"/>
    </row>
    <row r="123" spans="1:15" ht="15.75">
      <c r="A123" s="28"/>
      <c r="B123" s="29" t="s">
        <v>86</v>
      </c>
      <c r="C123" s="29"/>
      <c r="D123" s="29"/>
      <c r="E123" s="29"/>
      <c r="F123" s="29"/>
      <c r="G123" s="29"/>
      <c r="H123" s="29"/>
      <c r="I123" s="29"/>
      <c r="J123" s="29"/>
      <c r="K123" s="29"/>
      <c r="L123" s="29"/>
      <c r="M123" s="66">
        <v>5852</v>
      </c>
      <c r="N123" s="29"/>
      <c r="O123" s="6"/>
    </row>
    <row r="124" spans="1:15" ht="15.75">
      <c r="A124" s="28"/>
      <c r="B124" s="29" t="s">
        <v>87</v>
      </c>
      <c r="C124" s="29"/>
      <c r="D124" s="29"/>
      <c r="E124" s="29"/>
      <c r="F124" s="29"/>
      <c r="G124" s="29"/>
      <c r="H124" s="29"/>
      <c r="I124" s="29"/>
      <c r="J124" s="29"/>
      <c r="K124" s="29"/>
      <c r="L124" s="29"/>
      <c r="M124" s="66">
        <v>0</v>
      </c>
      <c r="N124" s="29"/>
      <c r="O124" s="6"/>
    </row>
    <row r="125" spans="1:15" ht="15.75">
      <c r="A125" s="28"/>
      <c r="B125" s="29" t="s">
        <v>88</v>
      </c>
      <c r="C125" s="29"/>
      <c r="D125" s="29"/>
      <c r="E125" s="29"/>
      <c r="F125" s="29"/>
      <c r="G125" s="29"/>
      <c r="H125" s="29"/>
      <c r="I125" s="29"/>
      <c r="J125" s="29"/>
      <c r="K125" s="29"/>
      <c r="L125" s="29"/>
      <c r="M125" s="66">
        <v>0</v>
      </c>
      <c r="N125" s="29"/>
      <c r="O125" s="6"/>
    </row>
    <row r="126" spans="1:15" ht="15.75">
      <c r="A126" s="28"/>
      <c r="B126" s="29" t="s">
        <v>89</v>
      </c>
      <c r="C126" s="29"/>
      <c r="D126" s="29"/>
      <c r="E126" s="29"/>
      <c r="F126" s="29"/>
      <c r="G126" s="29"/>
      <c r="H126" s="29"/>
      <c r="I126" s="29"/>
      <c r="J126" s="29"/>
      <c r="K126" s="29"/>
      <c r="L126" s="29"/>
      <c r="M126" s="66">
        <v>0</v>
      </c>
      <c r="N126" s="29"/>
      <c r="O126" s="6"/>
    </row>
    <row r="127" spans="1:15" ht="15.75">
      <c r="A127" s="28"/>
      <c r="B127" s="29" t="s">
        <v>90</v>
      </c>
      <c r="C127" s="29"/>
      <c r="D127" s="29"/>
      <c r="E127" s="29"/>
      <c r="F127" s="29"/>
      <c r="G127" s="29"/>
      <c r="H127" s="29"/>
      <c r="I127" s="29"/>
      <c r="J127" s="29"/>
      <c r="K127" s="29"/>
      <c r="L127" s="29"/>
      <c r="M127" s="66">
        <v>0</v>
      </c>
      <c r="N127" s="29"/>
      <c r="O127" s="6"/>
    </row>
    <row r="128" spans="1:15" ht="15.75">
      <c r="A128" s="28"/>
      <c r="B128" s="29" t="s">
        <v>91</v>
      </c>
      <c r="C128" s="29"/>
      <c r="D128" s="29"/>
      <c r="E128" s="29"/>
      <c r="F128" s="29"/>
      <c r="G128" s="29"/>
      <c r="H128" s="29"/>
      <c r="I128" s="29"/>
      <c r="J128" s="29"/>
      <c r="K128" s="29"/>
      <c r="L128" s="29"/>
      <c r="M128" s="66">
        <v>0</v>
      </c>
      <c r="N128" s="29"/>
      <c r="O128" s="6"/>
    </row>
    <row r="129" spans="1:15" ht="15.75">
      <c r="A129" s="28"/>
      <c r="B129" s="29" t="s">
        <v>66</v>
      </c>
      <c r="C129" s="29"/>
      <c r="D129" s="29"/>
      <c r="E129" s="29"/>
      <c r="F129" s="29"/>
      <c r="G129" s="29"/>
      <c r="H129" s="29"/>
      <c r="I129" s="29"/>
      <c r="J129" s="29"/>
      <c r="K129" s="29"/>
      <c r="L129" s="29"/>
      <c r="M129" s="66">
        <v>0</v>
      </c>
      <c r="N129" s="29"/>
      <c r="O129" s="6"/>
    </row>
    <row r="130" spans="1:15" ht="15.75">
      <c r="A130" s="28"/>
      <c r="B130" s="29" t="s">
        <v>67</v>
      </c>
      <c r="C130" s="29"/>
      <c r="D130" s="29"/>
      <c r="E130" s="29"/>
      <c r="F130" s="29"/>
      <c r="G130" s="29"/>
      <c r="H130" s="29"/>
      <c r="I130" s="29"/>
      <c r="J130" s="29"/>
      <c r="K130" s="29"/>
      <c r="L130" s="29"/>
      <c r="M130" s="66">
        <v>0</v>
      </c>
      <c r="N130" s="29"/>
      <c r="O130" s="6"/>
    </row>
    <row r="131" spans="1:15" ht="15.75">
      <c r="A131" s="28"/>
      <c r="B131" s="29" t="s">
        <v>92</v>
      </c>
      <c r="C131" s="29"/>
      <c r="D131" s="29"/>
      <c r="E131" s="29"/>
      <c r="F131" s="29"/>
      <c r="G131" s="29"/>
      <c r="H131" s="29"/>
      <c r="I131" s="29"/>
      <c r="J131" s="29"/>
      <c r="K131" s="29"/>
      <c r="L131" s="29"/>
      <c r="M131" s="66">
        <f>M123+M126</f>
        <v>5852</v>
      </c>
      <c r="N131" s="29"/>
      <c r="O131" s="6"/>
    </row>
    <row r="132" spans="1:15" ht="15.75">
      <c r="A132" s="28"/>
      <c r="B132" s="29"/>
      <c r="C132" s="29"/>
      <c r="D132" s="29"/>
      <c r="E132" s="29"/>
      <c r="F132" s="29"/>
      <c r="G132" s="29"/>
      <c r="H132" s="29"/>
      <c r="I132" s="29"/>
      <c r="J132" s="29"/>
      <c r="K132" s="29"/>
      <c r="L132" s="29"/>
      <c r="M132" s="82"/>
      <c r="N132" s="29"/>
      <c r="O132" s="6"/>
    </row>
    <row r="133" spans="1:15" ht="15.75">
      <c r="A133" s="7"/>
      <c r="B133" s="158" t="s">
        <v>50</v>
      </c>
      <c r="C133" s="9"/>
      <c r="D133" s="9"/>
      <c r="E133" s="9"/>
      <c r="F133" s="9"/>
      <c r="G133" s="9"/>
      <c r="H133" s="9"/>
      <c r="I133" s="9"/>
      <c r="J133" s="9"/>
      <c r="K133" s="9"/>
      <c r="L133" s="9"/>
      <c r="M133" s="64"/>
      <c r="N133" s="9"/>
      <c r="O133" s="6"/>
    </row>
    <row r="134" spans="1:15" ht="15.75">
      <c r="A134" s="28"/>
      <c r="B134" s="29" t="s">
        <v>93</v>
      </c>
      <c r="C134" s="83"/>
      <c r="D134" s="83"/>
      <c r="E134" s="29"/>
      <c r="F134" s="29"/>
      <c r="G134" s="29"/>
      <c r="H134" s="29"/>
      <c r="I134" s="29"/>
      <c r="J134" s="29"/>
      <c r="K134" s="29"/>
      <c r="L134" s="29"/>
      <c r="M134" s="66">
        <v>2926</v>
      </c>
      <c r="N134" s="29"/>
      <c r="O134" s="6"/>
    </row>
    <row r="135" spans="1:15" ht="15.75">
      <c r="A135" s="28"/>
      <c r="B135" s="29" t="s">
        <v>94</v>
      </c>
      <c r="C135" s="29"/>
      <c r="D135" s="29"/>
      <c r="E135" s="29"/>
      <c r="F135" s="29"/>
      <c r="G135" s="29"/>
      <c r="H135" s="29"/>
      <c r="I135" s="29"/>
      <c r="J135" s="29"/>
      <c r="K135" s="29"/>
      <c r="L135" s="29"/>
      <c r="M135" s="66">
        <v>2926</v>
      </c>
      <c r="N135" s="29"/>
      <c r="O135" s="6"/>
    </row>
    <row r="136" spans="1:15" ht="15.75">
      <c r="A136" s="28"/>
      <c r="B136" s="29" t="s">
        <v>95</v>
      </c>
      <c r="C136" s="29"/>
      <c r="D136" s="29"/>
      <c r="E136" s="29"/>
      <c r="F136" s="29"/>
      <c r="G136" s="29"/>
      <c r="H136" s="29"/>
      <c r="I136" s="29"/>
      <c r="J136" s="29"/>
      <c r="K136" s="29"/>
      <c r="L136" s="29"/>
      <c r="M136" s="66">
        <f>-M99</f>
        <v>0</v>
      </c>
      <c r="N136" s="29"/>
      <c r="O136" s="6"/>
    </row>
    <row r="137" spans="1:15" ht="15.75">
      <c r="A137" s="28"/>
      <c r="B137" s="29" t="s">
        <v>96</v>
      </c>
      <c r="C137" s="29"/>
      <c r="D137" s="29"/>
      <c r="E137" s="29"/>
      <c r="F137" s="29"/>
      <c r="G137" s="29"/>
      <c r="H137" s="29"/>
      <c r="I137" s="29"/>
      <c r="J137" s="29"/>
      <c r="K137" s="29"/>
      <c r="L137" s="29"/>
      <c r="M137" s="66">
        <f>M134-M135-M136</f>
        <v>0</v>
      </c>
      <c r="N137" s="29"/>
      <c r="O137" s="6"/>
    </row>
    <row r="138" spans="1:15" ht="15.75">
      <c r="A138" s="28"/>
      <c r="B138" s="29"/>
      <c r="C138" s="29"/>
      <c r="D138" s="29"/>
      <c r="E138" s="29"/>
      <c r="F138" s="29"/>
      <c r="G138" s="29"/>
      <c r="H138" s="29"/>
      <c r="I138" s="29"/>
      <c r="J138" s="29"/>
      <c r="K138" s="29"/>
      <c r="L138" s="29"/>
      <c r="M138" s="84"/>
      <c r="N138" s="29"/>
      <c r="O138" s="6"/>
    </row>
    <row r="139" spans="1:15" ht="15.75">
      <c r="A139" s="7"/>
      <c r="B139" s="158" t="s">
        <v>97</v>
      </c>
      <c r="C139" s="15"/>
      <c r="D139" s="15"/>
      <c r="E139" s="9"/>
      <c r="F139" s="9"/>
      <c r="G139" s="17" t="s">
        <v>178</v>
      </c>
      <c r="H139" s="17"/>
      <c r="I139" s="17" t="s">
        <v>181</v>
      </c>
      <c r="J139" s="9"/>
      <c r="K139" s="9"/>
      <c r="L139" s="9"/>
      <c r="M139" s="85"/>
      <c r="N139" s="9"/>
      <c r="O139" s="6"/>
    </row>
    <row r="140" spans="1:15" ht="15.75">
      <c r="A140" s="7"/>
      <c r="B140" s="15"/>
      <c r="C140" s="15"/>
      <c r="D140" s="15"/>
      <c r="E140" s="9"/>
      <c r="F140" s="9"/>
      <c r="G140" s="9"/>
      <c r="H140" s="9"/>
      <c r="I140" s="9"/>
      <c r="J140" s="9"/>
      <c r="K140" s="9"/>
      <c r="L140" s="9"/>
      <c r="M140" s="85"/>
      <c r="N140" s="9"/>
      <c r="O140" s="6"/>
    </row>
    <row r="141" spans="1:15" ht="15.75">
      <c r="A141" s="28"/>
      <c r="B141" s="29" t="s">
        <v>98</v>
      </c>
      <c r="C141" s="29"/>
      <c r="D141" s="29"/>
      <c r="E141" s="29"/>
      <c r="F141" s="29"/>
      <c r="G141" s="29">
        <v>0</v>
      </c>
      <c r="H141" s="29"/>
      <c r="I141" s="29">
        <v>0</v>
      </c>
      <c r="J141" s="29"/>
      <c r="K141" s="29"/>
      <c r="L141" s="29"/>
      <c r="M141" s="66">
        <v>0</v>
      </c>
      <c r="N141" s="29"/>
      <c r="O141" s="6"/>
    </row>
    <row r="142" spans="1:15" ht="15.75">
      <c r="A142" s="28"/>
      <c r="B142" s="29" t="s">
        <v>99</v>
      </c>
      <c r="C142" s="29"/>
      <c r="D142" s="29"/>
      <c r="E142" s="29"/>
      <c r="F142" s="29"/>
      <c r="G142" s="29">
        <v>33</v>
      </c>
      <c r="H142" s="29"/>
      <c r="I142" s="29">
        <v>585</v>
      </c>
      <c r="J142" s="29"/>
      <c r="K142" s="29"/>
      <c r="L142" s="29"/>
      <c r="M142" s="66">
        <f>SUM(G142:I142)</f>
        <v>618</v>
      </c>
      <c r="N142" s="29"/>
      <c r="O142" s="6"/>
    </row>
    <row r="143" spans="1:15" ht="15.75">
      <c r="A143" s="28"/>
      <c r="B143" s="29" t="s">
        <v>100</v>
      </c>
      <c r="C143" s="29"/>
      <c r="D143" s="29"/>
      <c r="E143" s="29"/>
      <c r="F143" s="29"/>
      <c r="G143" s="29"/>
      <c r="H143" s="29"/>
      <c r="I143" s="86"/>
      <c r="J143" s="29"/>
      <c r="K143" s="29"/>
      <c r="L143" s="29"/>
      <c r="M143" s="66">
        <f>M98</f>
        <v>-618</v>
      </c>
      <c r="N143" s="29"/>
      <c r="O143" s="6"/>
    </row>
    <row r="144" spans="1:15" ht="15.75">
      <c r="A144" s="28"/>
      <c r="B144" s="29" t="s">
        <v>101</v>
      </c>
      <c r="C144" s="29"/>
      <c r="D144" s="29"/>
      <c r="E144" s="29"/>
      <c r="F144" s="29"/>
      <c r="G144" s="29"/>
      <c r="H144" s="29"/>
      <c r="I144" s="29"/>
      <c r="J144" s="29"/>
      <c r="K144" s="29"/>
      <c r="L144" s="29"/>
      <c r="M144" s="66">
        <f>M143+M142</f>
        <v>0</v>
      </c>
      <c r="N144" s="29"/>
      <c r="O144" s="6"/>
    </row>
    <row r="145" spans="1:15" ht="15.75">
      <c r="A145" s="28"/>
      <c r="B145" s="29"/>
      <c r="C145" s="29"/>
      <c r="D145" s="29"/>
      <c r="E145" s="29"/>
      <c r="F145" s="29"/>
      <c r="G145" s="29"/>
      <c r="H145" s="29"/>
      <c r="I145" s="29"/>
      <c r="J145" s="29"/>
      <c r="K145" s="29"/>
      <c r="L145" s="29"/>
      <c r="M145" s="82"/>
      <c r="N145" s="29"/>
      <c r="O145" s="6"/>
    </row>
    <row r="146" spans="1:15" ht="15.75">
      <c r="A146" s="7"/>
      <c r="B146" s="9"/>
      <c r="C146" s="9"/>
      <c r="D146" s="9"/>
      <c r="E146" s="9"/>
      <c r="F146" s="9"/>
      <c r="G146" s="9"/>
      <c r="H146" s="9"/>
      <c r="I146" s="9"/>
      <c r="J146" s="9"/>
      <c r="K146" s="9"/>
      <c r="L146" s="9"/>
      <c r="M146" s="64"/>
      <c r="N146" s="9"/>
      <c r="O146" s="6"/>
    </row>
    <row r="147" spans="1:15" ht="15.75">
      <c r="A147" s="7"/>
      <c r="B147" s="158" t="s">
        <v>102</v>
      </c>
      <c r="C147" s="15"/>
      <c r="D147" s="15"/>
      <c r="E147" s="9"/>
      <c r="F147" s="9"/>
      <c r="G147" s="9"/>
      <c r="H147" s="9"/>
      <c r="I147" s="9"/>
      <c r="J147" s="9"/>
      <c r="K147" s="9"/>
      <c r="L147" s="9"/>
      <c r="M147" s="64"/>
      <c r="N147" s="9"/>
      <c r="O147" s="6"/>
    </row>
    <row r="148" spans="1:18" ht="15.75">
      <c r="A148" s="28"/>
      <c r="B148" s="29" t="s">
        <v>103</v>
      </c>
      <c r="C148" s="87"/>
      <c r="D148" s="87"/>
      <c r="E148" s="29"/>
      <c r="F148" s="29"/>
      <c r="G148" s="29"/>
      <c r="H148" s="29"/>
      <c r="I148" s="29"/>
      <c r="J148" s="29"/>
      <c r="K148" s="29"/>
      <c r="L148" s="29"/>
      <c r="M148" s="66">
        <f>M68+M61</f>
        <v>168630</v>
      </c>
      <c r="N148" s="29"/>
      <c r="O148" s="6"/>
      <c r="R148" s="132"/>
    </row>
    <row r="149" spans="1:15" ht="15.75">
      <c r="A149" s="28"/>
      <c r="B149" s="29" t="s">
        <v>104</v>
      </c>
      <c r="C149" s="87"/>
      <c r="D149" s="87"/>
      <c r="E149" s="29"/>
      <c r="F149" s="29"/>
      <c r="G149" s="29"/>
      <c r="H149" s="29"/>
      <c r="I149" s="29"/>
      <c r="J149" s="29"/>
      <c r="K149" s="29"/>
      <c r="L149" s="29"/>
      <c r="M149" s="66">
        <f>M72</f>
        <v>18223</v>
      </c>
      <c r="N149" s="29"/>
      <c r="O149" s="6"/>
    </row>
    <row r="150" spans="1:15" ht="15.75">
      <c r="A150" s="28"/>
      <c r="B150" s="29" t="s">
        <v>50</v>
      </c>
      <c r="C150" s="87"/>
      <c r="D150" s="87"/>
      <c r="E150" s="29"/>
      <c r="F150" s="29"/>
      <c r="G150" s="29"/>
      <c r="H150" s="29"/>
      <c r="I150" s="29"/>
      <c r="J150" s="29"/>
      <c r="K150" s="29"/>
      <c r="L150" s="29"/>
      <c r="M150" s="66">
        <f>M71</f>
        <v>2926</v>
      </c>
      <c r="N150" s="29"/>
      <c r="O150" s="6"/>
    </row>
    <row r="151" spans="1:16" ht="15.75">
      <c r="A151" s="28"/>
      <c r="B151" s="29" t="s">
        <v>105</v>
      </c>
      <c r="C151" s="87"/>
      <c r="D151" s="87"/>
      <c r="E151" s="29"/>
      <c r="F151" s="29"/>
      <c r="G151" s="29"/>
      <c r="H151" s="29"/>
      <c r="I151" s="29"/>
      <c r="J151" s="29"/>
      <c r="K151" s="29"/>
      <c r="L151" s="29"/>
      <c r="M151" s="66">
        <f>M74</f>
        <v>-95</v>
      </c>
      <c r="N151" s="29"/>
      <c r="O151" s="6"/>
      <c r="P151" s="132"/>
    </row>
    <row r="152" spans="1:15" ht="15.75">
      <c r="A152" s="28"/>
      <c r="B152" s="29" t="s">
        <v>106</v>
      </c>
      <c r="C152" s="87"/>
      <c r="D152" s="87"/>
      <c r="E152" s="29"/>
      <c r="F152" s="29"/>
      <c r="G152" s="29"/>
      <c r="H152" s="29"/>
      <c r="I152" s="29"/>
      <c r="J152" s="29"/>
      <c r="K152" s="29"/>
      <c r="L152" s="29"/>
      <c r="M152" s="66">
        <f>M73</f>
        <v>8240</v>
      </c>
      <c r="N152" s="29"/>
      <c r="O152" s="6"/>
    </row>
    <row r="153" spans="1:15" ht="15.75">
      <c r="A153" s="28"/>
      <c r="B153" s="29" t="s">
        <v>107</v>
      </c>
      <c r="C153" s="87"/>
      <c r="D153" s="87"/>
      <c r="E153" s="29"/>
      <c r="F153" s="29"/>
      <c r="G153" s="29"/>
      <c r="H153" s="29"/>
      <c r="I153" s="29"/>
      <c r="J153" s="29"/>
      <c r="K153" s="29"/>
      <c r="L153" s="29"/>
      <c r="M153" s="66">
        <f>SUM(M148:M152)</f>
        <v>197924</v>
      </c>
      <c r="N153" s="29"/>
      <c r="O153" s="133"/>
    </row>
    <row r="154" spans="1:19" ht="15.75">
      <c r="A154" s="28"/>
      <c r="B154" s="29" t="s">
        <v>108</v>
      </c>
      <c r="C154" s="87"/>
      <c r="D154" s="87"/>
      <c r="E154" s="29"/>
      <c r="F154" s="29"/>
      <c r="G154" s="29"/>
      <c r="H154" s="29"/>
      <c r="I154" s="29"/>
      <c r="J154" s="29"/>
      <c r="K154" s="29"/>
      <c r="L154" s="29"/>
      <c r="M154" s="66">
        <f>M30</f>
        <v>194998</v>
      </c>
      <c r="N154" s="29"/>
      <c r="O154" s="6"/>
      <c r="P154" s="132"/>
      <c r="R154" s="132"/>
      <c r="S154" s="132"/>
    </row>
    <row r="155" spans="1:15" ht="15.75">
      <c r="A155" s="28"/>
      <c r="B155" s="29"/>
      <c r="C155" s="29"/>
      <c r="D155" s="29"/>
      <c r="E155" s="29"/>
      <c r="F155" s="29"/>
      <c r="G155" s="29"/>
      <c r="H155" s="29"/>
      <c r="I155" s="29"/>
      <c r="J155" s="29"/>
      <c r="K155" s="29"/>
      <c r="L155" s="29"/>
      <c r="M155" s="82"/>
      <c r="N155" s="29"/>
      <c r="O155" s="6"/>
    </row>
    <row r="156" spans="1:15" ht="15.75">
      <c r="A156" s="7"/>
      <c r="B156" s="9"/>
      <c r="C156" s="9"/>
      <c r="D156" s="9"/>
      <c r="E156" s="9"/>
      <c r="F156" s="9"/>
      <c r="G156" s="9"/>
      <c r="H156" s="9"/>
      <c r="I156" s="25"/>
      <c r="J156" s="9"/>
      <c r="K156" s="25"/>
      <c r="L156" s="9"/>
      <c r="M156" s="64"/>
      <c r="N156" s="9"/>
      <c r="O156" s="6"/>
    </row>
    <row r="157" spans="1:15" ht="15.75">
      <c r="A157" s="7"/>
      <c r="B157" s="158" t="s">
        <v>109</v>
      </c>
      <c r="C157" s="144"/>
      <c r="D157" s="144"/>
      <c r="E157" s="144"/>
      <c r="F157" s="144"/>
      <c r="G157" s="144"/>
      <c r="H157" s="144"/>
      <c r="I157" s="159" t="s">
        <v>205</v>
      </c>
      <c r="J157" s="159"/>
      <c r="K157" s="159" t="s">
        <v>210</v>
      </c>
      <c r="L157" s="144"/>
      <c r="M157" s="160" t="s">
        <v>192</v>
      </c>
      <c r="N157" s="161"/>
      <c r="O157" s="6"/>
    </row>
    <row r="158" spans="1:15" ht="15.75">
      <c r="A158" s="28"/>
      <c r="B158" s="29" t="s">
        <v>110</v>
      </c>
      <c r="C158" s="29"/>
      <c r="D158" s="29"/>
      <c r="E158" s="29"/>
      <c r="F158" s="29"/>
      <c r="G158" s="29"/>
      <c r="H158" s="29"/>
      <c r="I158" s="66"/>
      <c r="J158" s="29"/>
      <c r="K158" s="53"/>
      <c r="L158" s="29"/>
      <c r="M158" s="66"/>
      <c r="N158" s="29"/>
      <c r="O158" s="6"/>
    </row>
    <row r="159" spans="1:15" ht="15.75">
      <c r="A159" s="28"/>
      <c r="B159" s="29" t="s">
        <v>111</v>
      </c>
      <c r="C159" s="29"/>
      <c r="D159" s="29"/>
      <c r="E159" s="29"/>
      <c r="F159" s="29"/>
      <c r="G159" s="29"/>
      <c r="H159" s="29"/>
      <c r="I159" s="66">
        <f>'Oct 2003'!I161</f>
        <v>135</v>
      </c>
      <c r="J159" s="29"/>
      <c r="K159" s="29"/>
      <c r="L159" s="29"/>
      <c r="M159" s="66" t="s">
        <v>224</v>
      </c>
      <c r="N159" s="29"/>
      <c r="O159" s="6"/>
    </row>
    <row r="160" spans="1:15" ht="15.75">
      <c r="A160" s="28"/>
      <c r="B160" s="29" t="s">
        <v>112</v>
      </c>
      <c r="C160" s="29"/>
      <c r="D160" s="29"/>
      <c r="E160" s="29"/>
      <c r="F160" s="29"/>
      <c r="G160" s="29"/>
      <c r="H160" s="29"/>
      <c r="I160" s="66">
        <v>121</v>
      </c>
      <c r="J160" s="29"/>
      <c r="K160" s="29"/>
      <c r="L160" s="29"/>
      <c r="M160" s="66" t="s">
        <v>224</v>
      </c>
      <c r="N160" s="29"/>
      <c r="O160" s="6"/>
    </row>
    <row r="161" spans="1:15" ht="15.75">
      <c r="A161" s="28"/>
      <c r="B161" s="29" t="s">
        <v>113</v>
      </c>
      <c r="C161" s="29"/>
      <c r="D161" s="29"/>
      <c r="E161" s="29"/>
      <c r="F161" s="29"/>
      <c r="G161" s="29"/>
      <c r="H161" s="29"/>
      <c r="I161" s="66">
        <f>SUM(I159:I160)</f>
        <v>256</v>
      </c>
      <c r="J161" s="29"/>
      <c r="K161" s="66"/>
      <c r="L161" s="29"/>
      <c r="M161" s="66" t="s">
        <v>224</v>
      </c>
      <c r="N161" s="29"/>
      <c r="O161" s="6"/>
    </row>
    <row r="162" spans="1:15" ht="15.75">
      <c r="A162" s="28"/>
      <c r="B162" s="29" t="s">
        <v>114</v>
      </c>
      <c r="C162" s="29"/>
      <c r="D162" s="29"/>
      <c r="E162" s="29"/>
      <c r="F162" s="29"/>
      <c r="G162" s="29"/>
      <c r="H162" s="29"/>
      <c r="I162" s="66"/>
      <c r="J162" s="29"/>
      <c r="K162" s="53"/>
      <c r="L162" s="29"/>
      <c r="M162" s="66"/>
      <c r="N162" s="29"/>
      <c r="O162" s="6"/>
    </row>
    <row r="163" spans="1:15" ht="15.75">
      <c r="A163" s="28"/>
      <c r="B163" s="29"/>
      <c r="C163" s="29"/>
      <c r="D163" s="29"/>
      <c r="E163" s="29"/>
      <c r="F163" s="29"/>
      <c r="G163" s="29"/>
      <c r="H163" s="29"/>
      <c r="I163" s="29"/>
      <c r="J163" s="29"/>
      <c r="K163" s="29"/>
      <c r="L163" s="29"/>
      <c r="M163" s="82"/>
      <c r="N163" s="29"/>
      <c r="O163" s="6"/>
    </row>
    <row r="164" spans="1:15" ht="15.75">
      <c r="A164" s="7"/>
      <c r="B164" s="9"/>
      <c r="C164" s="9"/>
      <c r="D164" s="9"/>
      <c r="E164" s="9"/>
      <c r="F164" s="9"/>
      <c r="G164" s="9"/>
      <c r="H164" s="9"/>
      <c r="I164" s="9"/>
      <c r="J164" s="9"/>
      <c r="K164" s="9"/>
      <c r="L164" s="9"/>
      <c r="M164" s="64"/>
      <c r="N164" s="9"/>
      <c r="O164" s="6"/>
    </row>
    <row r="165" spans="1:15" ht="15.75">
      <c r="A165" s="7"/>
      <c r="B165" s="158" t="s">
        <v>115</v>
      </c>
      <c r="C165" s="15"/>
      <c r="D165" s="15"/>
      <c r="E165" s="9"/>
      <c r="F165" s="9"/>
      <c r="G165" s="9"/>
      <c r="H165" s="9"/>
      <c r="I165" s="9"/>
      <c r="J165" s="9"/>
      <c r="K165" s="9"/>
      <c r="L165" s="9"/>
      <c r="M165" s="88"/>
      <c r="N165" s="9"/>
      <c r="O165" s="6"/>
    </row>
    <row r="166" spans="1:15" ht="15.75">
      <c r="A166" s="28"/>
      <c r="B166" s="29" t="s">
        <v>116</v>
      </c>
      <c r="C166" s="29"/>
      <c r="D166" s="29"/>
      <c r="E166" s="29"/>
      <c r="F166" s="29"/>
      <c r="G166" s="29"/>
      <c r="H166" s="29"/>
      <c r="I166" s="29"/>
      <c r="J166" s="29"/>
      <c r="K166" s="29"/>
      <c r="L166" s="29"/>
      <c r="M166" s="73">
        <f>(M88+M90+M91+M93)/-M92</f>
        <v>3.237575095576188</v>
      </c>
      <c r="N166" s="29" t="s">
        <v>225</v>
      </c>
      <c r="O166" s="6"/>
    </row>
    <row r="167" spans="1:15" ht="15.75">
      <c r="A167" s="28"/>
      <c r="B167" s="29" t="s">
        <v>117</v>
      </c>
      <c r="C167" s="29"/>
      <c r="D167" s="29"/>
      <c r="E167" s="29"/>
      <c r="F167" s="29"/>
      <c r="G167" s="29"/>
      <c r="H167" s="29"/>
      <c r="I167" s="29"/>
      <c r="J167" s="29"/>
      <c r="K167" s="29"/>
      <c r="L167" s="29"/>
      <c r="M167" s="89">
        <v>3.03</v>
      </c>
      <c r="N167" s="29" t="s">
        <v>225</v>
      </c>
      <c r="O167" s="6"/>
    </row>
    <row r="168" spans="1:15" ht="15.75">
      <c r="A168" s="28"/>
      <c r="B168" s="29" t="s">
        <v>118</v>
      </c>
      <c r="C168" s="29"/>
      <c r="D168" s="29"/>
      <c r="E168" s="29"/>
      <c r="F168" s="29"/>
      <c r="G168" s="29"/>
      <c r="H168" s="29"/>
      <c r="I168" s="29"/>
      <c r="J168" s="29"/>
      <c r="K168" s="29"/>
      <c r="L168" s="29"/>
      <c r="M168" s="73">
        <f>(M88+M90+M91+M92+M93+M94)/-M95</f>
        <v>20.771573604060915</v>
      </c>
      <c r="N168" s="29" t="s">
        <v>225</v>
      </c>
      <c r="O168" s="6"/>
    </row>
    <row r="169" spans="1:15" ht="15.75">
      <c r="A169" s="28"/>
      <c r="B169" s="29" t="s">
        <v>119</v>
      </c>
      <c r="C169" s="29"/>
      <c r="D169" s="29"/>
      <c r="E169" s="29"/>
      <c r="F169" s="29"/>
      <c r="G169" s="29"/>
      <c r="H169" s="29"/>
      <c r="I169" s="29"/>
      <c r="J169" s="29"/>
      <c r="K169" s="29"/>
      <c r="L169" s="29"/>
      <c r="M169" s="90">
        <v>18.92</v>
      </c>
      <c r="N169" s="29" t="s">
        <v>225</v>
      </c>
      <c r="O169" s="6"/>
    </row>
    <row r="170" spans="1:15" ht="15.75">
      <c r="A170" s="28"/>
      <c r="B170" s="29" t="s">
        <v>120</v>
      </c>
      <c r="C170" s="29"/>
      <c r="D170" s="29"/>
      <c r="E170" s="29"/>
      <c r="F170" s="29"/>
      <c r="G170" s="29"/>
      <c r="H170" s="29"/>
      <c r="I170" s="29"/>
      <c r="J170" s="29"/>
      <c r="K170" s="29"/>
      <c r="L170" s="29"/>
      <c r="M170" s="73">
        <f>(M88+M90+M91+M92+M93+M94+M95)/-M96</f>
        <v>27.821428571428573</v>
      </c>
      <c r="N170" s="29" t="s">
        <v>225</v>
      </c>
      <c r="O170" s="6"/>
    </row>
    <row r="171" spans="1:15" ht="15.75">
      <c r="A171" s="28"/>
      <c r="B171" s="29" t="s">
        <v>121</v>
      </c>
      <c r="C171" s="29"/>
      <c r="D171" s="29"/>
      <c r="E171" s="29"/>
      <c r="F171" s="29"/>
      <c r="G171" s="29"/>
      <c r="H171" s="29"/>
      <c r="I171" s="29"/>
      <c r="J171" s="29"/>
      <c r="K171" s="29"/>
      <c r="L171" s="29"/>
      <c r="M171" s="89">
        <v>25.55</v>
      </c>
      <c r="N171" s="29" t="s">
        <v>225</v>
      </c>
      <c r="O171" s="6"/>
    </row>
    <row r="172" spans="1:15" ht="15.75">
      <c r="A172" s="28"/>
      <c r="B172" s="29"/>
      <c r="C172" s="29"/>
      <c r="D172" s="29"/>
      <c r="E172" s="29"/>
      <c r="F172" s="29"/>
      <c r="G172" s="29"/>
      <c r="H172" s="29"/>
      <c r="I172" s="29"/>
      <c r="J172" s="29"/>
      <c r="K172" s="29"/>
      <c r="L172" s="29"/>
      <c r="M172" s="29"/>
      <c r="N172" s="29"/>
      <c r="O172" s="6"/>
    </row>
    <row r="173" spans="1:15" ht="15.75">
      <c r="A173" s="7"/>
      <c r="B173" s="9"/>
      <c r="C173" s="9"/>
      <c r="D173" s="9"/>
      <c r="E173" s="9"/>
      <c r="F173" s="9"/>
      <c r="G173" s="9"/>
      <c r="H173" s="9"/>
      <c r="I173" s="9"/>
      <c r="J173" s="9"/>
      <c r="K173" s="9"/>
      <c r="L173" s="9"/>
      <c r="M173" s="9"/>
      <c r="N173" s="9"/>
      <c r="O173" s="6"/>
    </row>
    <row r="174" spans="1:15" ht="16.5" thickBot="1">
      <c r="A174" s="134"/>
      <c r="B174" s="135" t="str">
        <f>B116</f>
        <v>PASF1 INVESTOR REPORT QUARTER ENDING JANUARY 2004</v>
      </c>
      <c r="C174" s="136"/>
      <c r="D174" s="136"/>
      <c r="E174" s="136"/>
      <c r="F174" s="136"/>
      <c r="G174" s="136"/>
      <c r="H174" s="136"/>
      <c r="I174" s="136"/>
      <c r="J174" s="136"/>
      <c r="K174" s="136"/>
      <c r="L174" s="136"/>
      <c r="M174" s="136"/>
      <c r="N174" s="138"/>
      <c r="O174" s="6"/>
    </row>
    <row r="175" spans="1:15" ht="15.75">
      <c r="A175" s="2"/>
      <c r="B175" s="91"/>
      <c r="C175" s="91"/>
      <c r="D175" s="91"/>
      <c r="E175" s="91"/>
      <c r="F175" s="91"/>
      <c r="G175" s="91"/>
      <c r="H175" s="91"/>
      <c r="I175" s="91"/>
      <c r="J175" s="91"/>
      <c r="K175" s="91"/>
      <c r="L175" s="91"/>
      <c r="M175" s="91"/>
      <c r="N175" s="91"/>
      <c r="O175" s="6"/>
    </row>
    <row r="176" spans="1:15" ht="15.75">
      <c r="A176" s="92"/>
      <c r="B176" s="63" t="s">
        <v>122</v>
      </c>
      <c r="C176" s="93"/>
      <c r="D176" s="93"/>
      <c r="E176" s="93" t="s">
        <v>178</v>
      </c>
      <c r="F176" s="93"/>
      <c r="G176" s="94" t="s">
        <v>181</v>
      </c>
      <c r="H176" s="94"/>
      <c r="I176" s="94"/>
      <c r="J176" s="22"/>
      <c r="K176" s="22">
        <v>38016</v>
      </c>
      <c r="L176" s="18"/>
      <c r="M176" s="18"/>
      <c r="N176" s="9"/>
      <c r="O176" s="6"/>
    </row>
    <row r="177" spans="1:15" ht="15.75">
      <c r="A177" s="95"/>
      <c r="B177" s="74" t="s">
        <v>123</v>
      </c>
      <c r="C177" s="96"/>
      <c r="D177" s="96"/>
      <c r="E177" s="97">
        <v>0.12505</v>
      </c>
      <c r="F177" s="96"/>
      <c r="G177" s="97">
        <v>0.13752</v>
      </c>
      <c r="H177" s="86"/>
      <c r="I177" s="86"/>
      <c r="J177" s="86"/>
      <c r="K177" s="97">
        <v>0.13157</v>
      </c>
      <c r="L177" s="29"/>
      <c r="M177" s="29"/>
      <c r="N177" s="29"/>
      <c r="O177" s="6"/>
    </row>
    <row r="178" spans="1:15" ht="15.75">
      <c r="A178" s="95"/>
      <c r="B178" s="74" t="s">
        <v>124</v>
      </c>
      <c r="C178" s="96"/>
      <c r="D178" s="96"/>
      <c r="E178" s="97"/>
      <c r="F178" s="96"/>
      <c r="G178" s="97"/>
      <c r="H178" s="86"/>
      <c r="I178" s="86"/>
      <c r="J178" s="86"/>
      <c r="K178" s="97">
        <v>0.0654</v>
      </c>
      <c r="L178" s="97"/>
      <c r="M178" s="29"/>
      <c r="N178" s="29"/>
      <c r="O178" s="6"/>
    </row>
    <row r="179" spans="1:15" ht="15.75">
      <c r="A179" s="95"/>
      <c r="B179" s="74" t="s">
        <v>125</v>
      </c>
      <c r="C179" s="96"/>
      <c r="D179" s="96"/>
      <c r="E179" s="96"/>
      <c r="F179" s="96"/>
      <c r="G179" s="96"/>
      <c r="H179" s="86"/>
      <c r="I179" s="86"/>
      <c r="J179" s="86"/>
      <c r="K179" s="97">
        <f>K177-K178</f>
        <v>0.06616999999999999</v>
      </c>
      <c r="L179" s="29"/>
      <c r="M179" s="29"/>
      <c r="N179" s="29"/>
      <c r="O179" s="6"/>
    </row>
    <row r="180" spans="1:15" ht="15.75">
      <c r="A180" s="95"/>
      <c r="B180" s="74" t="s">
        <v>126</v>
      </c>
      <c r="C180" s="96"/>
      <c r="D180" s="96"/>
      <c r="E180" s="98">
        <v>0.0941</v>
      </c>
      <c r="F180" s="98"/>
      <c r="G180" s="98">
        <v>0.1054</v>
      </c>
      <c r="H180" s="86"/>
      <c r="I180" s="86"/>
      <c r="J180" s="86"/>
      <c r="K180" s="97">
        <v>0.09875</v>
      </c>
      <c r="L180" s="29"/>
      <c r="M180" s="29"/>
      <c r="N180" s="29"/>
      <c r="O180" s="6"/>
    </row>
    <row r="181" spans="1:15" ht="15.75">
      <c r="A181" s="95"/>
      <c r="B181" s="74" t="s">
        <v>127</v>
      </c>
      <c r="C181" s="96"/>
      <c r="D181" s="96"/>
      <c r="E181" s="96"/>
      <c r="F181" s="96"/>
      <c r="G181" s="96"/>
      <c r="H181" s="86"/>
      <c r="I181" s="86"/>
      <c r="J181" s="86"/>
      <c r="K181" s="97">
        <f>M32</f>
        <v>0.04461766998841014</v>
      </c>
      <c r="L181" s="29"/>
      <c r="M181" s="29"/>
      <c r="N181" s="29"/>
      <c r="O181" s="6"/>
    </row>
    <row r="182" spans="1:15" ht="15.75">
      <c r="A182" s="95"/>
      <c r="B182" s="74" t="s">
        <v>128</v>
      </c>
      <c r="C182" s="96"/>
      <c r="D182" s="96"/>
      <c r="E182" s="96"/>
      <c r="F182" s="96"/>
      <c r="G182" s="96"/>
      <c r="H182" s="86"/>
      <c r="I182" s="86"/>
      <c r="J182" s="86"/>
      <c r="K182" s="97">
        <f>K180-K181</f>
        <v>0.05413233001158987</v>
      </c>
      <c r="L182" s="29"/>
      <c r="M182" s="29"/>
      <c r="N182" s="29"/>
      <c r="O182" s="6"/>
    </row>
    <row r="183" spans="1:15" ht="15.75">
      <c r="A183" s="95"/>
      <c r="B183" s="74" t="s">
        <v>129</v>
      </c>
      <c r="C183" s="96"/>
      <c r="D183" s="96"/>
      <c r="E183" s="96"/>
      <c r="F183" s="96"/>
      <c r="G183" s="96"/>
      <c r="H183" s="86"/>
      <c r="I183" s="86"/>
      <c r="J183" s="86"/>
      <c r="K183" s="97" t="s">
        <v>211</v>
      </c>
      <c r="L183" s="29"/>
      <c r="M183" s="29"/>
      <c r="N183" s="29"/>
      <c r="O183" s="6"/>
    </row>
    <row r="184" spans="1:15" ht="15.75">
      <c r="A184" s="95"/>
      <c r="B184" s="74" t="s">
        <v>130</v>
      </c>
      <c r="C184" s="96"/>
      <c r="D184" s="96"/>
      <c r="E184" s="96"/>
      <c r="F184" s="96"/>
      <c r="G184" s="96"/>
      <c r="H184" s="86"/>
      <c r="I184" s="86"/>
      <c r="J184" s="86"/>
      <c r="K184" s="97" t="s">
        <v>212</v>
      </c>
      <c r="L184" s="29"/>
      <c r="M184" s="29"/>
      <c r="N184" s="29"/>
      <c r="O184" s="6"/>
    </row>
    <row r="185" spans="1:15" ht="15.75">
      <c r="A185" s="95"/>
      <c r="B185" s="74" t="s">
        <v>131</v>
      </c>
      <c r="C185" s="96"/>
      <c r="D185" s="96"/>
      <c r="E185" s="99">
        <v>9.94</v>
      </c>
      <c r="F185" s="96"/>
      <c r="G185" s="99">
        <v>3.91</v>
      </c>
      <c r="H185" s="86"/>
      <c r="I185" s="86"/>
      <c r="J185" s="86"/>
      <c r="K185" s="100">
        <v>6.791</v>
      </c>
      <c r="L185" s="29"/>
      <c r="M185" s="29"/>
      <c r="N185" s="29"/>
      <c r="O185" s="6"/>
    </row>
    <row r="186" spans="1:15" ht="15.75">
      <c r="A186" s="95"/>
      <c r="B186" s="74" t="s">
        <v>132</v>
      </c>
      <c r="C186" s="96"/>
      <c r="D186" s="96"/>
      <c r="E186" s="101">
        <v>13.62</v>
      </c>
      <c r="F186" s="99"/>
      <c r="G186" s="99">
        <v>2.67</v>
      </c>
      <c r="H186" s="86"/>
      <c r="I186" s="86"/>
      <c r="J186" s="86"/>
      <c r="K186" s="100">
        <v>9.101</v>
      </c>
      <c r="L186" s="29"/>
      <c r="M186" s="29"/>
      <c r="N186" s="29"/>
      <c r="O186" s="6"/>
    </row>
    <row r="187" spans="1:15" ht="15.75">
      <c r="A187" s="95"/>
      <c r="B187" s="74" t="s">
        <v>231</v>
      </c>
      <c r="C187" s="96"/>
      <c r="D187" s="96"/>
      <c r="E187" s="101"/>
      <c r="F187" s="99"/>
      <c r="G187" s="99"/>
      <c r="H187" s="86"/>
      <c r="I187" s="86"/>
      <c r="J187" s="86"/>
      <c r="K187" s="97">
        <v>0.0339</v>
      </c>
      <c r="L187" s="29"/>
      <c r="M187" s="29"/>
      <c r="N187" s="29"/>
      <c r="O187" s="6"/>
    </row>
    <row r="188" spans="1:15" ht="15.75">
      <c r="A188" s="95"/>
      <c r="B188" s="74" t="s">
        <v>232</v>
      </c>
      <c r="C188" s="96"/>
      <c r="D188" s="96"/>
      <c r="E188" s="101"/>
      <c r="F188" s="99"/>
      <c r="G188" s="99"/>
      <c r="H188" s="86"/>
      <c r="I188" s="86"/>
      <c r="J188" s="86"/>
      <c r="K188" s="97">
        <v>0.18</v>
      </c>
      <c r="L188" s="29"/>
      <c r="M188" s="29"/>
      <c r="N188" s="29"/>
      <c r="O188" s="6"/>
    </row>
    <row r="189" spans="1:15" ht="15.75">
      <c r="A189" s="95"/>
      <c r="B189" s="74" t="s">
        <v>233</v>
      </c>
      <c r="C189" s="96"/>
      <c r="D189" s="96"/>
      <c r="E189" s="101"/>
      <c r="F189" s="99"/>
      <c r="G189" s="99"/>
      <c r="H189" s="86"/>
      <c r="I189" s="86"/>
      <c r="J189" s="86"/>
      <c r="K189" s="97">
        <v>0.1065</v>
      </c>
      <c r="L189" s="29"/>
      <c r="M189" s="29"/>
      <c r="N189" s="29"/>
      <c r="O189" s="6"/>
    </row>
    <row r="190" spans="1:15" ht="15.75">
      <c r="A190" s="95"/>
      <c r="B190" s="74" t="s">
        <v>234</v>
      </c>
      <c r="C190" s="96"/>
      <c r="D190" s="96"/>
      <c r="E190" s="101"/>
      <c r="F190" s="99"/>
      <c r="G190" s="99"/>
      <c r="H190" s="86"/>
      <c r="I190" s="86"/>
      <c r="J190" s="86"/>
      <c r="K190" s="97">
        <v>0.3359</v>
      </c>
      <c r="L190" s="29"/>
      <c r="M190" s="29"/>
      <c r="N190" s="29"/>
      <c r="O190" s="6"/>
    </row>
    <row r="191" spans="1:15" ht="15.75">
      <c r="A191" s="95"/>
      <c r="B191" s="74"/>
      <c r="C191" s="74"/>
      <c r="D191" s="74"/>
      <c r="E191" s="74"/>
      <c r="F191" s="74"/>
      <c r="G191" s="74"/>
      <c r="H191" s="29"/>
      <c r="I191" s="29"/>
      <c r="J191" s="37"/>
      <c r="K191" s="102"/>
      <c r="L191" s="29"/>
      <c r="M191" s="103"/>
      <c r="N191" s="29"/>
      <c r="O191" s="6"/>
    </row>
    <row r="192" spans="1:15" ht="15.75">
      <c r="A192" s="104"/>
      <c r="B192" s="17" t="s">
        <v>134</v>
      </c>
      <c r="C192" s="20"/>
      <c r="D192" s="20"/>
      <c r="E192" s="105"/>
      <c r="F192" s="20"/>
      <c r="G192" s="105"/>
      <c r="H192" s="20"/>
      <c r="I192" s="105"/>
      <c r="J192" s="20" t="s">
        <v>206</v>
      </c>
      <c r="K192" s="105" t="s">
        <v>213</v>
      </c>
      <c r="L192" s="18"/>
      <c r="M192" s="18"/>
      <c r="N192" s="9"/>
      <c r="O192" s="6"/>
    </row>
    <row r="193" spans="1:15" ht="15.75">
      <c r="A193" s="106"/>
      <c r="B193" s="74" t="s">
        <v>135</v>
      </c>
      <c r="C193" s="67"/>
      <c r="D193" s="67"/>
      <c r="E193" s="67"/>
      <c r="F193" s="67"/>
      <c r="G193" s="29"/>
      <c r="H193" s="29"/>
      <c r="I193" s="29"/>
      <c r="J193" s="29">
        <v>61</v>
      </c>
      <c r="K193" s="66">
        <v>313</v>
      </c>
      <c r="L193" s="66"/>
      <c r="M193" s="103"/>
      <c r="N193" s="107"/>
      <c r="O193" s="6"/>
    </row>
    <row r="194" spans="1:15" ht="15.75">
      <c r="A194" s="106"/>
      <c r="B194" s="74" t="s">
        <v>136</v>
      </c>
      <c r="C194" s="67"/>
      <c r="D194" s="67"/>
      <c r="E194" s="67"/>
      <c r="F194" s="67"/>
      <c r="G194" s="29"/>
      <c r="H194" s="29"/>
      <c r="I194" s="29"/>
      <c r="J194" s="29">
        <v>2</v>
      </c>
      <c r="K194" s="66">
        <v>18</v>
      </c>
      <c r="L194" s="66"/>
      <c r="M194" s="103"/>
      <c r="N194" s="107"/>
      <c r="O194" s="6"/>
    </row>
    <row r="195" spans="1:15" ht="15.75">
      <c r="A195" s="106"/>
      <c r="B195" s="74"/>
      <c r="C195" s="67"/>
      <c r="D195" s="67"/>
      <c r="E195" s="67"/>
      <c r="F195" s="67"/>
      <c r="G195" s="29"/>
      <c r="H195" s="29"/>
      <c r="I195" s="29"/>
      <c r="J195" s="29"/>
      <c r="K195" s="66"/>
      <c r="L195" s="66"/>
      <c r="M195" s="103"/>
      <c r="N195" s="107"/>
      <c r="O195" s="6"/>
    </row>
    <row r="196" spans="1:15" ht="15.75">
      <c r="A196" s="106"/>
      <c r="B196" s="74" t="s">
        <v>137</v>
      </c>
      <c r="C196" s="67"/>
      <c r="D196" s="67"/>
      <c r="E196" s="67"/>
      <c r="F196" s="67"/>
      <c r="G196" s="29"/>
      <c r="H196" s="29"/>
      <c r="I196" s="29"/>
      <c r="J196" s="29">
        <v>77</v>
      </c>
      <c r="K196" s="66">
        <v>1416</v>
      </c>
      <c r="L196" s="66"/>
      <c r="M196" s="103"/>
      <c r="N196" s="107"/>
      <c r="O196" s="6"/>
    </row>
    <row r="197" spans="1:15" ht="15.75">
      <c r="A197" s="106"/>
      <c r="B197" s="74" t="s">
        <v>138</v>
      </c>
      <c r="C197" s="67"/>
      <c r="D197" s="67"/>
      <c r="E197" s="67"/>
      <c r="F197" s="67"/>
      <c r="G197" s="29"/>
      <c r="H197" s="29"/>
      <c r="I197" s="29"/>
      <c r="J197" s="29">
        <v>5</v>
      </c>
      <c r="K197" s="66">
        <v>103</v>
      </c>
      <c r="L197" s="66"/>
      <c r="M197" s="103"/>
      <c r="N197" s="107"/>
      <c r="O197" s="6"/>
    </row>
    <row r="198" spans="1:15" ht="15.75">
      <c r="A198" s="106"/>
      <c r="B198" s="74"/>
      <c r="C198" s="67"/>
      <c r="D198" s="67"/>
      <c r="E198" s="67"/>
      <c r="F198" s="67"/>
      <c r="G198" s="29"/>
      <c r="H198" s="29"/>
      <c r="I198" s="29"/>
      <c r="J198" s="29"/>
      <c r="K198" s="66"/>
      <c r="L198" s="66"/>
      <c r="M198" s="103"/>
      <c r="N198" s="107"/>
      <c r="O198" s="6"/>
    </row>
    <row r="199" spans="1:15" ht="15.75">
      <c r="A199" s="106"/>
      <c r="B199" s="162" t="s">
        <v>139</v>
      </c>
      <c r="C199" s="67"/>
      <c r="D199" s="67"/>
      <c r="E199" s="67"/>
      <c r="F199" s="67"/>
      <c r="G199" s="29"/>
      <c r="H199" s="29"/>
      <c r="I199" s="29"/>
      <c r="J199" s="29"/>
      <c r="K199" s="73" t="s">
        <v>214</v>
      </c>
      <c r="L199" s="29"/>
      <c r="M199" s="103"/>
      <c r="N199" s="107"/>
      <c r="O199" s="6"/>
    </row>
    <row r="200" spans="1:15" ht="15.75">
      <c r="A200" s="106"/>
      <c r="B200" s="162" t="s">
        <v>140</v>
      </c>
      <c r="C200" s="67"/>
      <c r="D200" s="67"/>
      <c r="E200" s="67"/>
      <c r="F200" s="67"/>
      <c r="G200" s="29"/>
      <c r="H200" s="29"/>
      <c r="I200" s="29"/>
      <c r="J200" s="29"/>
      <c r="K200" s="66">
        <f>-I72</f>
        <v>13167</v>
      </c>
      <c r="L200" s="29"/>
      <c r="M200" s="103"/>
      <c r="N200" s="107"/>
      <c r="O200" s="6"/>
    </row>
    <row r="201" spans="1:15" ht="15.75">
      <c r="A201" s="108"/>
      <c r="B201" s="162" t="s">
        <v>141</v>
      </c>
      <c r="C201" s="67"/>
      <c r="D201" s="67"/>
      <c r="E201" s="74"/>
      <c r="F201" s="74"/>
      <c r="G201" s="74"/>
      <c r="H201" s="29"/>
      <c r="I201" s="29"/>
      <c r="J201" s="29"/>
      <c r="K201" s="73"/>
      <c r="L201" s="29"/>
      <c r="M201" s="103"/>
      <c r="N201" s="109"/>
      <c r="O201" s="6"/>
    </row>
    <row r="202" spans="1:15" ht="15.75">
      <c r="A202" s="108"/>
      <c r="B202" s="74" t="s">
        <v>142</v>
      </c>
      <c r="C202" s="67"/>
      <c r="D202" s="67"/>
      <c r="E202" s="74"/>
      <c r="F202" s="74"/>
      <c r="G202" s="74"/>
      <c r="H202" s="29"/>
      <c r="I202" s="29"/>
      <c r="J202" s="29"/>
      <c r="K202" s="89">
        <f>I142</f>
        <v>585</v>
      </c>
      <c r="L202" s="29"/>
      <c r="M202" s="103"/>
      <c r="N202" s="109"/>
      <c r="O202" s="6"/>
    </row>
    <row r="203" spans="1:15" ht="15.75">
      <c r="A203" s="108"/>
      <c r="B203" s="74" t="s">
        <v>143</v>
      </c>
      <c r="C203" s="67"/>
      <c r="D203" s="67"/>
      <c r="E203" s="74"/>
      <c r="F203" s="74"/>
      <c r="G203" s="74"/>
      <c r="H203" s="29"/>
      <c r="I203" s="29"/>
      <c r="J203" s="29"/>
      <c r="K203" s="89">
        <f>'Oct 2003'!K203+'Jan 2004'!K202</f>
        <v>7452</v>
      </c>
      <c r="L203" s="29"/>
      <c r="M203" s="103"/>
      <c r="N203" s="109"/>
      <c r="O203" s="6"/>
    </row>
    <row r="204" spans="1:15" ht="15.75">
      <c r="A204" s="108"/>
      <c r="B204" s="74" t="s">
        <v>144</v>
      </c>
      <c r="C204" s="67"/>
      <c r="D204" s="67"/>
      <c r="E204" s="74"/>
      <c r="F204" s="74"/>
      <c r="G204" s="74"/>
      <c r="H204" s="29"/>
      <c r="I204" s="29"/>
      <c r="J204" s="29"/>
      <c r="K204" s="89">
        <f>39+13+24+37+79+95+96+27+47+27+200+44+35+53+194+32+40+38+177+51+42+40</f>
        <v>1430</v>
      </c>
      <c r="L204" s="29"/>
      <c r="M204" s="103"/>
      <c r="N204" s="109"/>
      <c r="O204" s="6"/>
    </row>
    <row r="205" spans="1:15" ht="15.75">
      <c r="A205" s="108"/>
      <c r="B205" s="74"/>
      <c r="C205" s="67"/>
      <c r="D205" s="67"/>
      <c r="E205" s="74"/>
      <c r="F205" s="74"/>
      <c r="G205" s="74"/>
      <c r="H205" s="29"/>
      <c r="I205" s="29"/>
      <c r="J205" s="29"/>
      <c r="K205" s="89"/>
      <c r="L205" s="29"/>
      <c r="M205" s="103"/>
      <c r="N205" s="109"/>
      <c r="O205" s="6"/>
    </row>
    <row r="206" spans="1:15" ht="15.75">
      <c r="A206" s="106"/>
      <c r="B206" s="74" t="s">
        <v>145</v>
      </c>
      <c r="C206" s="67"/>
      <c r="D206" s="67"/>
      <c r="E206" s="67"/>
      <c r="F206" s="67"/>
      <c r="G206" s="67"/>
      <c r="H206" s="29"/>
      <c r="I206" s="29"/>
      <c r="J206" s="29"/>
      <c r="K206" s="66">
        <f>G142</f>
        <v>33</v>
      </c>
      <c r="L206" s="29"/>
      <c r="M206" s="103"/>
      <c r="N206" s="109"/>
      <c r="O206" s="6"/>
    </row>
    <row r="207" spans="1:15" ht="15.75">
      <c r="A207" s="106"/>
      <c r="B207" s="74" t="s">
        <v>146</v>
      </c>
      <c r="C207" s="67"/>
      <c r="D207" s="67"/>
      <c r="E207" s="67"/>
      <c r="F207" s="67"/>
      <c r="G207" s="67"/>
      <c r="H207" s="29"/>
      <c r="I207" s="29"/>
      <c r="J207" s="29"/>
      <c r="K207" s="66">
        <f>'Oct 2003'!K207+'Jan 2004'!K206</f>
        <v>788</v>
      </c>
      <c r="L207" s="29"/>
      <c r="M207" s="103"/>
      <c r="N207" s="109"/>
      <c r="O207" s="6"/>
    </row>
    <row r="208" spans="1:15" ht="15.75">
      <c r="A208" s="106"/>
      <c r="B208" s="74" t="s">
        <v>144</v>
      </c>
      <c r="C208" s="67"/>
      <c r="D208" s="67"/>
      <c r="E208" s="67"/>
      <c r="F208" s="67"/>
      <c r="G208" s="67"/>
      <c r="H208" s="29"/>
      <c r="I208" s="29"/>
      <c r="J208" s="29"/>
      <c r="K208" s="66"/>
      <c r="L208" s="29"/>
      <c r="M208" s="103"/>
      <c r="N208" s="109"/>
      <c r="O208" s="6"/>
    </row>
    <row r="209" spans="1:15" ht="15.75">
      <c r="A209" s="106"/>
      <c r="B209" s="74"/>
      <c r="C209" s="67"/>
      <c r="D209" s="67"/>
      <c r="E209" s="67"/>
      <c r="F209" s="67"/>
      <c r="G209" s="67"/>
      <c r="H209" s="29"/>
      <c r="I209" s="29"/>
      <c r="J209" s="29"/>
      <c r="K209" s="66"/>
      <c r="L209" s="29"/>
      <c r="M209" s="103"/>
      <c r="N209" s="109"/>
      <c r="O209" s="6"/>
    </row>
    <row r="210" spans="1:15" ht="15.75">
      <c r="A210" s="108"/>
      <c r="B210" s="162" t="s">
        <v>147</v>
      </c>
      <c r="C210" s="67"/>
      <c r="D210" s="67"/>
      <c r="E210" s="74"/>
      <c r="F210" s="74"/>
      <c r="G210" s="74"/>
      <c r="H210" s="29"/>
      <c r="I210" s="29"/>
      <c r="J210" s="29"/>
      <c r="K210" s="110"/>
      <c r="L210" s="29"/>
      <c r="M210" s="103"/>
      <c r="N210" s="109"/>
      <c r="O210" s="6"/>
    </row>
    <row r="211" spans="1:15" ht="15.75">
      <c r="A211" s="108"/>
      <c r="B211" s="74" t="s">
        <v>148</v>
      </c>
      <c r="C211" s="67"/>
      <c r="D211" s="67"/>
      <c r="E211" s="74"/>
      <c r="F211" s="74"/>
      <c r="G211" s="74"/>
      <c r="H211" s="29"/>
      <c r="I211" s="29"/>
      <c r="J211" s="29"/>
      <c r="K211" s="110">
        <v>0</v>
      </c>
      <c r="L211" s="29"/>
      <c r="M211" s="103"/>
      <c r="N211" s="109"/>
      <c r="O211" s="6"/>
    </row>
    <row r="212" spans="1:15" ht="15.75">
      <c r="A212" s="106"/>
      <c r="B212" s="74" t="s">
        <v>149</v>
      </c>
      <c r="C212" s="67"/>
      <c r="D212" s="67"/>
      <c r="E212" s="111"/>
      <c r="F212" s="111"/>
      <c r="G212" s="112"/>
      <c r="H212" s="29"/>
      <c r="I212" s="29"/>
      <c r="J212" s="29"/>
      <c r="K212" s="110">
        <v>0</v>
      </c>
      <c r="L212" s="29"/>
      <c r="M212" s="103"/>
      <c r="N212" s="109"/>
      <c r="O212" s="6"/>
    </row>
    <row r="213" spans="1:15" ht="15.75">
      <c r="A213" s="106"/>
      <c r="B213" s="74" t="s">
        <v>150</v>
      </c>
      <c r="C213" s="67"/>
      <c r="D213" s="67"/>
      <c r="E213" s="111"/>
      <c r="F213" s="111"/>
      <c r="G213" s="112"/>
      <c r="H213" s="29"/>
      <c r="I213" s="29"/>
      <c r="J213" s="29"/>
      <c r="K213" s="110">
        <v>0</v>
      </c>
      <c r="L213" s="29"/>
      <c r="M213" s="103"/>
      <c r="N213" s="109"/>
      <c r="O213" s="6"/>
    </row>
    <row r="214" spans="1:15" ht="15.75">
      <c r="A214" s="106"/>
      <c r="B214" s="74" t="s">
        <v>151</v>
      </c>
      <c r="C214" s="67"/>
      <c r="D214" s="67"/>
      <c r="E214" s="113"/>
      <c r="F214" s="111"/>
      <c r="G214" s="112"/>
      <c r="H214" s="29"/>
      <c r="I214" s="29"/>
      <c r="J214" s="29"/>
      <c r="K214" s="110">
        <v>0</v>
      </c>
      <c r="L214" s="29"/>
      <c r="M214" s="103"/>
      <c r="N214" s="109"/>
      <c r="O214" s="6"/>
    </row>
    <row r="215" spans="1:15" ht="15.75">
      <c r="A215" s="106"/>
      <c r="B215" s="74"/>
      <c r="C215" s="67"/>
      <c r="D215" s="67"/>
      <c r="E215" s="113"/>
      <c r="F215" s="111"/>
      <c r="G215" s="112"/>
      <c r="H215" s="29"/>
      <c r="I215" s="37"/>
      <c r="J215" s="37"/>
      <c r="K215" s="114"/>
      <c r="L215" s="37"/>
      <c r="M215" s="103"/>
      <c r="N215" s="109"/>
      <c r="O215" s="6"/>
    </row>
    <row r="216" spans="1:15" ht="15.75">
      <c r="A216" s="106"/>
      <c r="B216" s="162" t="s">
        <v>152</v>
      </c>
      <c r="C216" s="67"/>
      <c r="D216" s="67"/>
      <c r="E216" s="113"/>
      <c r="F216" s="111"/>
      <c r="G216" s="112"/>
      <c r="H216" s="29"/>
      <c r="I216" s="37"/>
      <c r="J216" s="37"/>
      <c r="K216" s="114"/>
      <c r="L216" s="37"/>
      <c r="M216" s="103"/>
      <c r="N216" s="109"/>
      <c r="O216" s="6"/>
    </row>
    <row r="217" spans="1:15" ht="15.75">
      <c r="A217" s="106"/>
      <c r="B217" s="74" t="s">
        <v>153</v>
      </c>
      <c r="C217" s="67"/>
      <c r="D217" s="67"/>
      <c r="E217" s="113"/>
      <c r="F217" s="111"/>
      <c r="G217" s="112"/>
      <c r="H217" s="29"/>
      <c r="I217" s="37"/>
      <c r="J217" s="37"/>
      <c r="K217" s="115">
        <v>202</v>
      </c>
      <c r="L217" s="37"/>
      <c r="M217" s="103"/>
      <c r="N217" s="109"/>
      <c r="O217" s="6"/>
    </row>
    <row r="218" spans="1:15" ht="15.75">
      <c r="A218" s="106"/>
      <c r="B218" s="74" t="s">
        <v>149</v>
      </c>
      <c r="C218" s="67"/>
      <c r="D218" s="67"/>
      <c r="E218" s="113"/>
      <c r="F218" s="111"/>
      <c r="G218" s="112"/>
      <c r="H218" s="29"/>
      <c r="I218" s="37"/>
      <c r="J218" s="37"/>
      <c r="K218" s="115">
        <v>2.51</v>
      </c>
      <c r="L218" s="37"/>
      <c r="M218" s="103"/>
      <c r="N218" s="109"/>
      <c r="O218" s="6"/>
    </row>
    <row r="219" spans="1:15" ht="15.75">
      <c r="A219" s="106"/>
      <c r="B219" s="74" t="s">
        <v>154</v>
      </c>
      <c r="C219" s="67"/>
      <c r="D219" s="67"/>
      <c r="E219" s="113"/>
      <c r="F219" s="111"/>
      <c r="G219" s="112"/>
      <c r="H219" s="29"/>
      <c r="I219" s="37"/>
      <c r="J219" s="37"/>
      <c r="K219" s="115">
        <v>34.96</v>
      </c>
      <c r="L219" s="37"/>
      <c r="M219" s="103"/>
      <c r="N219" s="109"/>
      <c r="O219" s="6"/>
    </row>
    <row r="220" spans="1:15" ht="15.75">
      <c r="A220" s="106"/>
      <c r="B220" s="74"/>
      <c r="C220" s="67"/>
      <c r="D220" s="67"/>
      <c r="E220" s="113"/>
      <c r="F220" s="111"/>
      <c r="G220" s="112"/>
      <c r="H220" s="29"/>
      <c r="I220" s="37"/>
      <c r="J220" s="37"/>
      <c r="K220" s="114"/>
      <c r="L220" s="37"/>
      <c r="M220" s="103"/>
      <c r="N220" s="109"/>
      <c r="O220" s="6"/>
    </row>
    <row r="221" spans="1:15" ht="15.75">
      <c r="A221" s="28"/>
      <c r="B221" s="32" t="s">
        <v>155</v>
      </c>
      <c r="C221" s="119"/>
      <c r="D221" s="119"/>
      <c r="E221" s="120"/>
      <c r="F221" s="119"/>
      <c r="G221" s="120"/>
      <c r="H221" s="119"/>
      <c r="I221" s="120" t="s">
        <v>206</v>
      </c>
      <c r="J221" s="119" t="s">
        <v>208</v>
      </c>
      <c r="K221" s="120" t="s">
        <v>215</v>
      </c>
      <c r="L221" s="119" t="s">
        <v>208</v>
      </c>
      <c r="M221" s="121"/>
      <c r="N221" s="109"/>
      <c r="O221" s="6"/>
    </row>
    <row r="222" spans="1:15" ht="15.75">
      <c r="A222" s="28"/>
      <c r="B222" s="67" t="s">
        <v>156</v>
      </c>
      <c r="C222" s="116"/>
      <c r="D222" s="116"/>
      <c r="E222" s="67"/>
      <c r="F222" s="116"/>
      <c r="G222" s="29"/>
      <c r="H222" s="116"/>
      <c r="I222" s="67">
        <v>5713</v>
      </c>
      <c r="J222" s="116">
        <f>I222/I226</f>
        <v>0.963894044204488</v>
      </c>
      <c r="K222" s="66">
        <v>95106</v>
      </c>
      <c r="L222" s="117">
        <f>K222/K226</f>
        <v>0.9604920317518028</v>
      </c>
      <c r="M222" s="103"/>
      <c r="N222" s="109"/>
      <c r="O222" s="6"/>
    </row>
    <row r="223" spans="1:15" ht="15.75">
      <c r="A223" s="28"/>
      <c r="B223" s="67" t="s">
        <v>157</v>
      </c>
      <c r="C223" s="116"/>
      <c r="D223" s="116"/>
      <c r="E223" s="67"/>
      <c r="F223" s="116"/>
      <c r="G223" s="29"/>
      <c r="H223" s="118"/>
      <c r="I223" s="67">
        <v>101</v>
      </c>
      <c r="J223" s="116">
        <f>I223/I226</f>
        <v>0.017040661380124854</v>
      </c>
      <c r="K223" s="66">
        <v>1981</v>
      </c>
      <c r="L223" s="117">
        <f>K223/K226</f>
        <v>0.02000646347128805</v>
      </c>
      <c r="M223" s="103"/>
      <c r="N223" s="109"/>
      <c r="O223" s="6"/>
    </row>
    <row r="224" spans="1:15" ht="15.75">
      <c r="A224" s="28"/>
      <c r="B224" s="67" t="s">
        <v>158</v>
      </c>
      <c r="C224" s="116"/>
      <c r="D224" s="116"/>
      <c r="E224" s="67"/>
      <c r="F224" s="116"/>
      <c r="G224" s="29"/>
      <c r="H224" s="118"/>
      <c r="I224" s="67">
        <v>48</v>
      </c>
      <c r="J224" s="116">
        <f>I224/I226</f>
        <v>0.008098532141049435</v>
      </c>
      <c r="K224" s="66">
        <v>900</v>
      </c>
      <c r="L224" s="117">
        <f>K224/K226</f>
        <v>0.009089256498818397</v>
      </c>
      <c r="M224" s="103"/>
      <c r="N224" s="109"/>
      <c r="O224" s="6"/>
    </row>
    <row r="225" spans="1:15" ht="15.75">
      <c r="A225" s="28"/>
      <c r="B225" s="67" t="s">
        <v>159</v>
      </c>
      <c r="C225" s="116"/>
      <c r="D225" s="116"/>
      <c r="E225" s="67"/>
      <c r="F225" s="116"/>
      <c r="G225" s="29"/>
      <c r="H225" s="118"/>
      <c r="I225" s="67">
        <v>65</v>
      </c>
      <c r="J225" s="116">
        <f>I225/I226</f>
        <v>0.010966762274337776</v>
      </c>
      <c r="K225" s="66">
        <v>1031</v>
      </c>
      <c r="L225" s="117">
        <f>K225/K226</f>
        <v>0.010412248278090851</v>
      </c>
      <c r="M225" s="103"/>
      <c r="N225" s="109"/>
      <c r="O225" s="6"/>
    </row>
    <row r="226" spans="1:15" ht="15.75">
      <c r="A226" s="28"/>
      <c r="B226" s="29"/>
      <c r="C226" s="29"/>
      <c r="D226" s="29"/>
      <c r="E226" s="37"/>
      <c r="F226" s="29"/>
      <c r="G226" s="29"/>
      <c r="H226" s="29"/>
      <c r="I226" s="65">
        <f>SUM(I222:I225)</f>
        <v>5927</v>
      </c>
      <c r="J226" s="117">
        <f>SUM(J222:J225)</f>
        <v>1</v>
      </c>
      <c r="K226" s="66">
        <f>SUM(K222:K225)</f>
        <v>99018</v>
      </c>
      <c r="L226" s="117">
        <f>SUM(L222:L225)</f>
        <v>1.0000000000000002</v>
      </c>
      <c r="M226" s="103"/>
      <c r="N226" s="29"/>
      <c r="O226" s="6"/>
    </row>
    <row r="227" spans="1:15" ht="15.75">
      <c r="A227" s="28"/>
      <c r="B227" s="29"/>
      <c r="C227" s="29"/>
      <c r="D227" s="29"/>
      <c r="E227" s="37"/>
      <c r="F227" s="29"/>
      <c r="G227" s="29"/>
      <c r="H227" s="29"/>
      <c r="I227" s="65"/>
      <c r="J227" s="117"/>
      <c r="K227" s="66"/>
      <c r="L227" s="117"/>
      <c r="M227" s="103"/>
      <c r="N227" s="29"/>
      <c r="O227" s="6"/>
    </row>
    <row r="228" spans="1:15" ht="15.75">
      <c r="A228" s="28"/>
      <c r="B228" s="32" t="s">
        <v>160</v>
      </c>
      <c r="C228" s="119"/>
      <c r="D228" s="119"/>
      <c r="E228" s="120"/>
      <c r="F228" s="119"/>
      <c r="G228" s="120"/>
      <c r="H228" s="119"/>
      <c r="I228" s="120" t="s">
        <v>206</v>
      </c>
      <c r="J228" s="119" t="s">
        <v>208</v>
      </c>
      <c r="K228" s="120" t="s">
        <v>215</v>
      </c>
      <c r="L228" s="119" t="s">
        <v>208</v>
      </c>
      <c r="M228" s="121"/>
      <c r="N228" s="109"/>
      <c r="O228" s="6"/>
    </row>
    <row r="229" spans="1:15" ht="15.75">
      <c r="A229" s="28"/>
      <c r="B229" s="67" t="s">
        <v>156</v>
      </c>
      <c r="C229" s="116"/>
      <c r="D229" s="116"/>
      <c r="E229" s="67"/>
      <c r="F229" s="116"/>
      <c r="G229" s="29"/>
      <c r="H229" s="116"/>
      <c r="I229" s="67">
        <v>13530</v>
      </c>
      <c r="J229" s="116">
        <f>I229/I233</f>
        <v>0.9829277152197603</v>
      </c>
      <c r="K229" s="66">
        <v>68385</v>
      </c>
      <c r="L229" s="116">
        <f>K229/K233</f>
        <v>0.9823737286674711</v>
      </c>
      <c r="M229" s="103"/>
      <c r="N229" s="109"/>
      <c r="O229" s="6"/>
    </row>
    <row r="230" spans="1:15" ht="15.75">
      <c r="A230" s="28"/>
      <c r="B230" s="67" t="s">
        <v>157</v>
      </c>
      <c r="C230" s="116"/>
      <c r="D230" s="116"/>
      <c r="E230" s="67"/>
      <c r="F230" s="116"/>
      <c r="G230" s="29"/>
      <c r="H230" s="118"/>
      <c r="I230" s="67">
        <v>88</v>
      </c>
      <c r="J230" s="116">
        <f>I230/I233</f>
        <v>0.006393025790047221</v>
      </c>
      <c r="K230" s="66">
        <v>460</v>
      </c>
      <c r="L230" s="116">
        <f>K230/K233</f>
        <v>0.006608056082284664</v>
      </c>
      <c r="M230" s="103"/>
      <c r="N230" s="109"/>
      <c r="O230" s="6"/>
    </row>
    <row r="231" spans="1:15" ht="15.75">
      <c r="A231" s="28"/>
      <c r="B231" s="67" t="s">
        <v>158</v>
      </c>
      <c r="C231" s="116"/>
      <c r="D231" s="116"/>
      <c r="E231" s="67"/>
      <c r="F231" s="116"/>
      <c r="G231" s="29"/>
      <c r="H231" s="118"/>
      <c r="I231" s="67">
        <v>40</v>
      </c>
      <c r="J231" s="116">
        <f>I231/I233</f>
        <v>0.002905920813657828</v>
      </c>
      <c r="K231" s="66">
        <v>173</v>
      </c>
      <c r="L231" s="116">
        <f>K231/K233</f>
        <v>0.002485203700511406</v>
      </c>
      <c r="M231" s="103"/>
      <c r="N231" s="109"/>
      <c r="O231" s="6"/>
    </row>
    <row r="232" spans="1:15" ht="15.75">
      <c r="A232" s="28"/>
      <c r="B232" s="67" t="s">
        <v>159</v>
      </c>
      <c r="C232" s="116"/>
      <c r="D232" s="116"/>
      <c r="E232" s="67"/>
      <c r="F232" s="116"/>
      <c r="G232" s="29"/>
      <c r="H232" s="118"/>
      <c r="I232" s="67">
        <v>107</v>
      </c>
      <c r="J232" s="116">
        <f>I232/I233</f>
        <v>0.007773338176534689</v>
      </c>
      <c r="K232" s="66">
        <v>594</v>
      </c>
      <c r="L232" s="116">
        <f>K232/K233</f>
        <v>0.008533011549732804</v>
      </c>
      <c r="M232" s="103"/>
      <c r="N232" s="109"/>
      <c r="O232" s="6"/>
    </row>
    <row r="233" spans="1:15" ht="15.75">
      <c r="A233" s="28"/>
      <c r="B233" s="29"/>
      <c r="C233" s="29"/>
      <c r="D233" s="29"/>
      <c r="E233" s="37"/>
      <c r="F233" s="29"/>
      <c r="G233" s="29"/>
      <c r="H233" s="29"/>
      <c r="I233" s="65">
        <f>SUM(I229:I232)</f>
        <v>13765</v>
      </c>
      <c r="J233" s="117">
        <f>SUM(J229:J232)</f>
        <v>1</v>
      </c>
      <c r="K233" s="66">
        <f>SUM(K229:K232)</f>
        <v>69612</v>
      </c>
      <c r="L233" s="117">
        <f>SUM(L229:L232)</f>
        <v>1</v>
      </c>
      <c r="M233" s="103"/>
      <c r="N233" s="29"/>
      <c r="O233" s="6"/>
    </row>
    <row r="234" spans="1:15" ht="15.75">
      <c r="A234" s="28"/>
      <c r="B234" s="29"/>
      <c r="C234" s="29"/>
      <c r="D234" s="29"/>
      <c r="E234" s="37"/>
      <c r="F234" s="29"/>
      <c r="G234" s="29"/>
      <c r="H234" s="29"/>
      <c r="I234" s="65"/>
      <c r="J234" s="117"/>
      <c r="K234" s="66"/>
      <c r="L234" s="117"/>
      <c r="M234" s="103"/>
      <c r="N234" s="29"/>
      <c r="O234" s="6"/>
    </row>
    <row r="235" spans="1:15" ht="15.75">
      <c r="A235" s="28"/>
      <c r="B235" s="29" t="s">
        <v>161</v>
      </c>
      <c r="C235" s="29"/>
      <c r="D235" s="29"/>
      <c r="E235" s="37"/>
      <c r="F235" s="29"/>
      <c r="G235" s="29"/>
      <c r="H235" s="29"/>
      <c r="I235" s="65"/>
      <c r="J235" s="117"/>
      <c r="K235" s="66">
        <f>K226+K233</f>
        <v>168630</v>
      </c>
      <c r="L235" s="117"/>
      <c r="M235" s="103"/>
      <c r="N235" s="29"/>
      <c r="O235" s="6"/>
    </row>
    <row r="236" spans="1:15" ht="15.75">
      <c r="A236" s="28"/>
      <c r="B236" s="29"/>
      <c r="C236" s="29"/>
      <c r="D236" s="29"/>
      <c r="E236" s="37"/>
      <c r="F236" s="29"/>
      <c r="G236" s="29"/>
      <c r="H236" s="29"/>
      <c r="I236" s="65"/>
      <c r="J236" s="117"/>
      <c r="K236" s="66"/>
      <c r="L236" s="117"/>
      <c r="M236" s="103"/>
      <c r="N236" s="29"/>
      <c r="O236" s="6"/>
    </row>
    <row r="237" spans="1:15" ht="15.75">
      <c r="A237" s="28"/>
      <c r="B237" s="29"/>
      <c r="C237" s="29"/>
      <c r="D237" s="29"/>
      <c r="E237" s="37"/>
      <c r="F237" s="29"/>
      <c r="G237" s="29"/>
      <c r="H237" s="29"/>
      <c r="I237" s="65"/>
      <c r="J237" s="117"/>
      <c r="K237" s="66"/>
      <c r="L237" s="117"/>
      <c r="M237" s="103"/>
      <c r="N237" s="29"/>
      <c r="O237" s="6"/>
    </row>
    <row r="238" spans="1:15" ht="15.75">
      <c r="A238" s="122"/>
      <c r="B238" s="17" t="s">
        <v>162</v>
      </c>
      <c r="C238" s="123"/>
      <c r="D238" s="123"/>
      <c r="E238" s="20" t="s">
        <v>182</v>
      </c>
      <c r="F238" s="18"/>
      <c r="G238" s="17" t="s">
        <v>194</v>
      </c>
      <c r="H238" s="124"/>
      <c r="I238" s="124"/>
      <c r="J238" s="124"/>
      <c r="K238" s="125"/>
      <c r="L238" s="14"/>
      <c r="M238" s="14"/>
      <c r="N238" s="14"/>
      <c r="O238" s="6"/>
    </row>
    <row r="239" spans="1:15" ht="15.75">
      <c r="A239" s="122"/>
      <c r="B239" s="15" t="s">
        <v>163</v>
      </c>
      <c r="C239" s="126"/>
      <c r="D239" s="126"/>
      <c r="E239" s="127" t="s">
        <v>183</v>
      </c>
      <c r="F239" s="15"/>
      <c r="G239" s="15" t="s">
        <v>195</v>
      </c>
      <c r="H239" s="126"/>
      <c r="I239" s="126"/>
      <c r="J239" s="14"/>
      <c r="K239" s="14"/>
      <c r="L239" s="14"/>
      <c r="M239" s="14"/>
      <c r="N239" s="14"/>
      <c r="O239" s="6"/>
    </row>
    <row r="240" spans="1:15" ht="15.75">
      <c r="A240" s="122"/>
      <c r="B240" s="15" t="s">
        <v>164</v>
      </c>
      <c r="C240" s="126"/>
      <c r="D240" s="126"/>
      <c r="E240" s="127" t="s">
        <v>184</v>
      </c>
      <c r="F240" s="15"/>
      <c r="G240" s="15" t="s">
        <v>196</v>
      </c>
      <c r="H240" s="126"/>
      <c r="I240" s="126"/>
      <c r="J240" s="14"/>
      <c r="K240" s="14"/>
      <c r="L240" s="14"/>
      <c r="M240" s="14"/>
      <c r="N240" s="14"/>
      <c r="O240" s="6"/>
    </row>
    <row r="241" spans="1:15" ht="15.75">
      <c r="A241" s="122"/>
      <c r="B241" s="15"/>
      <c r="C241" s="126"/>
      <c r="D241" s="126"/>
      <c r="E241" s="127"/>
      <c r="F241" s="15"/>
      <c r="G241" s="15"/>
      <c r="H241" s="126"/>
      <c r="I241" s="126"/>
      <c r="J241" s="14"/>
      <c r="K241" s="14"/>
      <c r="L241" s="14"/>
      <c r="M241" s="14"/>
      <c r="N241" s="14"/>
      <c r="O241" s="6"/>
    </row>
    <row r="242" spans="1:15" ht="15.75">
      <c r="A242" s="122"/>
      <c r="B242" s="15"/>
      <c r="C242" s="126"/>
      <c r="D242" s="126"/>
      <c r="E242" s="127"/>
      <c r="F242" s="15"/>
      <c r="G242" s="15"/>
      <c r="H242" s="126"/>
      <c r="I242" s="126"/>
      <c r="J242" s="14"/>
      <c r="K242" s="14"/>
      <c r="L242" s="14"/>
      <c r="M242" s="14"/>
      <c r="N242" s="14"/>
      <c r="O242" s="6"/>
    </row>
    <row r="243" spans="1:15" ht="15.75">
      <c r="A243" s="122"/>
      <c r="B243" s="15" t="str">
        <f>B174</f>
        <v>PASF1 INVESTOR REPORT QUARTER ENDING JANUARY 2004</v>
      </c>
      <c r="C243" s="126"/>
      <c r="D243" s="126"/>
      <c r="E243" s="127"/>
      <c r="F243" s="15"/>
      <c r="G243" s="15"/>
      <c r="H243" s="126"/>
      <c r="I243" s="126"/>
      <c r="J243" s="14"/>
      <c r="K243" s="14"/>
      <c r="L243" s="14"/>
      <c r="M243" s="14"/>
      <c r="N243" s="14"/>
      <c r="O243" s="6"/>
    </row>
    <row r="244" spans="1:14" ht="15">
      <c r="A244" s="130"/>
      <c r="B244" s="130"/>
      <c r="C244" s="130"/>
      <c r="D244" s="130"/>
      <c r="E244" s="130"/>
      <c r="F244" s="130"/>
      <c r="G244" s="130"/>
      <c r="H244" s="130"/>
      <c r="I244" s="130"/>
      <c r="J244" s="130"/>
      <c r="K244" s="130"/>
      <c r="L244" s="130"/>
      <c r="M244" s="130"/>
      <c r="N244" s="130"/>
    </row>
  </sheetData>
  <printOptions horizontalCentered="1" verticalCentered="1"/>
  <pageMargins left="0.2362204724409449" right="0.4330708661417323" top="0.2362204724409449" bottom="0.31496062992125984" header="0" footer="0"/>
  <pageSetup horizontalDpi="600" verticalDpi="600" orientation="landscape" paperSize="9" scale="48" r:id="rId2"/>
  <rowBreaks count="3" manualBreakCount="3">
    <brk id="53" max="14" man="1"/>
    <brk id="116" max="14" man="1"/>
    <brk id="174" max="14" man="1"/>
  </rowBreaks>
  <drawing r:id="rId1"/>
</worksheet>
</file>

<file path=xl/worksheets/sheet14.xml><?xml version="1.0" encoding="utf-8"?>
<worksheet xmlns="http://schemas.openxmlformats.org/spreadsheetml/2006/main" xmlns:r="http://schemas.openxmlformats.org/officeDocument/2006/relationships">
  <dimension ref="A1:T24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49.6640625" style="1" customWidth="1"/>
    <col min="3" max="3" width="12.6640625" style="1" customWidth="1"/>
    <col min="4" max="4" width="18.6640625" style="1" customWidth="1"/>
    <col min="5" max="5" width="14.6640625" style="1" customWidth="1"/>
    <col min="6" max="6" width="4.6640625" style="1" customWidth="1"/>
    <col min="7" max="7" width="14.6640625" style="1" customWidth="1"/>
    <col min="8" max="8" width="4.6640625" style="1" customWidth="1"/>
    <col min="9" max="9" width="19.6640625" style="1" customWidth="1"/>
    <col min="10" max="10" width="6.6640625" style="1" customWidth="1"/>
    <col min="11" max="11" width="12.4453125" style="1" customWidth="1"/>
    <col min="12" max="12" width="8.6640625" style="1" customWidth="1"/>
    <col min="13" max="13" width="14.6640625" style="1" customWidth="1"/>
    <col min="14" max="14" width="2.6640625" style="1" customWidth="1"/>
    <col min="15" max="16384" width="9.6640625" style="1" customWidth="1"/>
  </cols>
  <sheetData>
    <row r="1" spans="1:15" ht="20.25">
      <c r="A1" s="2"/>
      <c r="B1" s="3" t="s">
        <v>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44" t="s">
        <v>1</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241</v>
      </c>
      <c r="C5" s="13"/>
      <c r="D5" s="13"/>
      <c r="E5" s="9"/>
      <c r="F5" s="9"/>
      <c r="G5" s="9"/>
      <c r="H5" s="9"/>
      <c r="I5" s="9"/>
      <c r="J5" s="9"/>
      <c r="K5" s="9"/>
      <c r="L5" s="9"/>
      <c r="M5" s="9"/>
      <c r="N5" s="9"/>
      <c r="O5" s="6"/>
    </row>
    <row r="6" spans="1:15" ht="15.75">
      <c r="A6" s="7"/>
      <c r="B6" s="12" t="s">
        <v>242</v>
      </c>
      <c r="C6" s="13"/>
      <c r="D6" s="13"/>
      <c r="E6" s="9"/>
      <c r="F6" s="9"/>
      <c r="G6" s="9"/>
      <c r="H6" s="9"/>
      <c r="I6" s="9"/>
      <c r="J6" s="9"/>
      <c r="K6" s="9"/>
      <c r="L6" s="9"/>
      <c r="M6" s="9"/>
      <c r="N6" s="9"/>
      <c r="O6" s="6"/>
    </row>
    <row r="7" spans="1:15" ht="15.75">
      <c r="A7" s="7"/>
      <c r="B7" s="12" t="s">
        <v>4</v>
      </c>
      <c r="C7" s="13"/>
      <c r="D7" s="13"/>
      <c r="E7" s="9"/>
      <c r="F7" s="9"/>
      <c r="G7" s="9"/>
      <c r="H7" s="9"/>
      <c r="I7" s="9"/>
      <c r="J7" s="9"/>
      <c r="K7" s="9"/>
      <c r="L7" s="9"/>
      <c r="M7" s="9"/>
      <c r="N7" s="9"/>
      <c r="O7" s="6"/>
    </row>
    <row r="8" spans="1:15" ht="15.75">
      <c r="A8" s="7"/>
      <c r="B8" s="14"/>
      <c r="C8" s="13"/>
      <c r="D8" s="13"/>
      <c r="E8" s="9"/>
      <c r="F8" s="9"/>
      <c r="G8" s="9"/>
      <c r="H8" s="9"/>
      <c r="I8" s="9"/>
      <c r="J8" s="9"/>
      <c r="K8" s="9"/>
      <c r="L8" s="9"/>
      <c r="M8" s="9"/>
      <c r="N8" s="9"/>
      <c r="O8" s="6"/>
    </row>
    <row r="9" spans="1:15" ht="15.75">
      <c r="A9" s="7"/>
      <c r="B9" s="13"/>
      <c r="C9" s="13"/>
      <c r="D9" s="13"/>
      <c r="E9" s="15"/>
      <c r="F9" s="15"/>
      <c r="G9" s="9"/>
      <c r="H9" s="9"/>
      <c r="I9" s="9"/>
      <c r="J9" s="9"/>
      <c r="K9" s="9"/>
      <c r="L9" s="9"/>
      <c r="M9" s="9"/>
      <c r="N9" s="9"/>
      <c r="O9" s="6"/>
    </row>
    <row r="10" spans="1:15" ht="15.75">
      <c r="A10" s="7"/>
      <c r="B10" s="15" t="s">
        <v>5</v>
      </c>
      <c r="C10" s="15"/>
      <c r="D10" s="15"/>
      <c r="E10" s="9"/>
      <c r="F10" s="9"/>
      <c r="G10" s="9"/>
      <c r="H10" s="9"/>
      <c r="I10" s="9"/>
      <c r="J10" s="9"/>
      <c r="K10" s="9"/>
      <c r="L10" s="9"/>
      <c r="M10" s="9"/>
      <c r="N10" s="9"/>
      <c r="O10" s="6"/>
    </row>
    <row r="11" spans="1:15" ht="15.75">
      <c r="A11" s="7"/>
      <c r="B11" s="15"/>
      <c r="C11" s="15"/>
      <c r="D11" s="15"/>
      <c r="E11" s="9"/>
      <c r="F11" s="9"/>
      <c r="G11" s="9"/>
      <c r="H11" s="9"/>
      <c r="I11" s="9"/>
      <c r="J11" s="9"/>
      <c r="K11" s="9"/>
      <c r="L11" s="9"/>
      <c r="M11" s="9"/>
      <c r="N11" s="9"/>
      <c r="O11" s="6"/>
    </row>
    <row r="12" spans="1:15" ht="15.75">
      <c r="A12" s="2"/>
      <c r="B12" s="5"/>
      <c r="C12" s="5"/>
      <c r="D12" s="5"/>
      <c r="E12" s="5"/>
      <c r="F12" s="5"/>
      <c r="G12" s="5"/>
      <c r="H12" s="5"/>
      <c r="I12" s="5"/>
      <c r="J12" s="5"/>
      <c r="K12" s="5"/>
      <c r="L12" s="5"/>
      <c r="M12" s="5"/>
      <c r="N12" s="5"/>
      <c r="O12" s="6"/>
    </row>
    <row r="13" spans="1:15" ht="15.75">
      <c r="A13" s="7"/>
      <c r="B13" s="17" t="s">
        <v>6</v>
      </c>
      <c r="C13" s="17"/>
      <c r="D13" s="17"/>
      <c r="E13" s="18"/>
      <c r="F13" s="18"/>
      <c r="G13" s="18"/>
      <c r="H13" s="18"/>
      <c r="I13" s="18"/>
      <c r="J13" s="18"/>
      <c r="K13" s="18"/>
      <c r="L13" s="18"/>
      <c r="M13" s="19" t="s">
        <v>217</v>
      </c>
      <c r="N13" s="9"/>
      <c r="O13" s="6"/>
    </row>
    <row r="14" spans="1:15" ht="15.75">
      <c r="A14" s="7"/>
      <c r="B14" s="17" t="s">
        <v>7</v>
      </c>
      <c r="C14" s="17"/>
      <c r="D14" s="18"/>
      <c r="E14" s="18"/>
      <c r="F14" s="18"/>
      <c r="G14" s="18"/>
      <c r="H14" s="20" t="s">
        <v>197</v>
      </c>
      <c r="I14" s="21">
        <v>0.52</v>
      </c>
      <c r="J14" s="20" t="s">
        <v>207</v>
      </c>
      <c r="K14" s="21">
        <v>0.48</v>
      </c>
      <c r="L14" s="18"/>
      <c r="M14" s="19"/>
      <c r="N14" s="9"/>
      <c r="O14" s="6"/>
    </row>
    <row r="15" spans="1:15" ht="15.75">
      <c r="A15" s="7"/>
      <c r="B15" s="17" t="s">
        <v>8</v>
      </c>
      <c r="C15" s="17"/>
      <c r="D15" s="18"/>
      <c r="E15" s="18"/>
      <c r="F15" s="18"/>
      <c r="G15" s="18"/>
      <c r="H15" s="20" t="s">
        <v>197</v>
      </c>
      <c r="I15" s="21">
        <f>K233/K235</f>
        <v>0.36776844738252634</v>
      </c>
      <c r="J15" s="20" t="s">
        <v>207</v>
      </c>
      <c r="K15" s="21">
        <f>K226/K235</f>
        <v>0.6322315526174737</v>
      </c>
      <c r="L15" s="18"/>
      <c r="M15" s="19"/>
      <c r="N15" s="9"/>
      <c r="O15" s="6"/>
    </row>
    <row r="16" spans="1:15" ht="15.75">
      <c r="A16" s="7"/>
      <c r="B16" s="17" t="s">
        <v>9</v>
      </c>
      <c r="C16" s="17"/>
      <c r="D16" s="17"/>
      <c r="E16" s="18"/>
      <c r="F16" s="18"/>
      <c r="G16" s="18"/>
      <c r="H16" s="18"/>
      <c r="I16" s="18"/>
      <c r="J16" s="18"/>
      <c r="K16" s="18"/>
      <c r="L16" s="18"/>
      <c r="M16" s="22">
        <v>36853</v>
      </c>
      <c r="N16" s="9"/>
      <c r="O16" s="6"/>
    </row>
    <row r="17" spans="1:15" ht="15.75">
      <c r="A17" s="7"/>
      <c r="B17" s="17" t="s">
        <v>10</v>
      </c>
      <c r="C17" s="17"/>
      <c r="D17" s="17"/>
      <c r="E17" s="18"/>
      <c r="F17" s="18"/>
      <c r="G17" s="18"/>
      <c r="H17" s="18"/>
      <c r="I17" s="18"/>
      <c r="J17" s="18"/>
      <c r="K17" s="18"/>
      <c r="L17" s="18"/>
      <c r="M17" s="22">
        <v>38127</v>
      </c>
      <c r="N17" s="9"/>
      <c r="O17" s="6"/>
    </row>
    <row r="18" spans="1:15" ht="15.75">
      <c r="A18" s="7"/>
      <c r="B18" s="9"/>
      <c r="C18" s="9"/>
      <c r="D18" s="9"/>
      <c r="E18" s="9"/>
      <c r="F18" s="9"/>
      <c r="G18" s="9"/>
      <c r="H18" s="9"/>
      <c r="I18" s="9"/>
      <c r="J18" s="9"/>
      <c r="K18" s="9"/>
      <c r="L18" s="9"/>
      <c r="M18" s="23"/>
      <c r="N18" s="9"/>
      <c r="O18" s="6"/>
    </row>
    <row r="19" spans="1:15" ht="15.75">
      <c r="A19" s="7"/>
      <c r="B19" s="24" t="s">
        <v>11</v>
      </c>
      <c r="C19" s="9"/>
      <c r="D19" s="9"/>
      <c r="E19" s="9"/>
      <c r="F19" s="9"/>
      <c r="G19" s="9"/>
      <c r="H19" s="9"/>
      <c r="I19" s="9"/>
      <c r="J19" s="9"/>
      <c r="K19" s="23"/>
      <c r="L19" s="9"/>
      <c r="M19" s="14"/>
      <c r="N19" s="9"/>
      <c r="O19" s="6"/>
    </row>
    <row r="20" spans="1:15" ht="15.75">
      <c r="A20" s="7"/>
      <c r="B20" s="9"/>
      <c r="C20" s="9"/>
      <c r="D20" s="9"/>
      <c r="E20" s="9"/>
      <c r="F20" s="9"/>
      <c r="G20" s="9"/>
      <c r="H20" s="9"/>
      <c r="I20" s="9"/>
      <c r="J20" s="9"/>
      <c r="K20" s="9"/>
      <c r="L20" s="9"/>
      <c r="M20" s="25"/>
      <c r="N20" s="9"/>
      <c r="O20" s="6"/>
    </row>
    <row r="21" spans="1:15" ht="31.5">
      <c r="A21" s="7"/>
      <c r="B21" s="9"/>
      <c r="C21" s="145" t="s">
        <v>165</v>
      </c>
      <c r="D21" s="168" t="s">
        <v>168</v>
      </c>
      <c r="E21" s="168" t="s">
        <v>179</v>
      </c>
      <c r="F21" s="168"/>
      <c r="G21" s="168" t="s">
        <v>185</v>
      </c>
      <c r="H21" s="168"/>
      <c r="I21" s="168" t="s">
        <v>198</v>
      </c>
      <c r="J21" s="26"/>
      <c r="K21" s="27"/>
      <c r="L21" s="14"/>
      <c r="M21" s="14"/>
      <c r="N21" s="9"/>
      <c r="O21" s="6"/>
    </row>
    <row r="22" spans="1:15" ht="15.75">
      <c r="A22" s="28"/>
      <c r="B22" s="29" t="s">
        <v>12</v>
      </c>
      <c r="C22" s="146" t="s">
        <v>166</v>
      </c>
      <c r="D22" s="30" t="s">
        <v>169</v>
      </c>
      <c r="E22" s="30"/>
      <c r="F22" s="30"/>
      <c r="G22" s="30" t="s">
        <v>186</v>
      </c>
      <c r="H22" s="30"/>
      <c r="I22" s="30" t="s">
        <v>199</v>
      </c>
      <c r="J22" s="30"/>
      <c r="K22" s="30"/>
      <c r="L22" s="31"/>
      <c r="M22" s="31"/>
      <c r="N22" s="29"/>
      <c r="O22" s="6"/>
    </row>
    <row r="23" spans="1:15" ht="15.75">
      <c r="A23" s="28"/>
      <c r="B23" s="29" t="s">
        <v>13</v>
      </c>
      <c r="C23" s="32"/>
      <c r="D23" s="33" t="s">
        <v>170</v>
      </c>
      <c r="E23" s="34"/>
      <c r="F23" s="33"/>
      <c r="G23" s="33" t="s">
        <v>187</v>
      </c>
      <c r="H23" s="33"/>
      <c r="I23" s="33" t="s">
        <v>200</v>
      </c>
      <c r="J23" s="35"/>
      <c r="K23" s="35"/>
      <c r="L23" s="36"/>
      <c r="M23" s="31"/>
      <c r="N23" s="29"/>
      <c r="O23" s="6"/>
    </row>
    <row r="24" spans="1:15" ht="15.75">
      <c r="A24" s="28"/>
      <c r="B24" s="32" t="s">
        <v>14</v>
      </c>
      <c r="C24" s="32"/>
      <c r="D24" s="35" t="s">
        <v>169</v>
      </c>
      <c r="E24" s="35"/>
      <c r="F24" s="35"/>
      <c r="G24" s="35" t="s">
        <v>186</v>
      </c>
      <c r="H24" s="35"/>
      <c r="I24" s="35" t="s">
        <v>199</v>
      </c>
      <c r="J24" s="35"/>
      <c r="K24" s="35"/>
      <c r="L24" s="36"/>
      <c r="M24" s="31"/>
      <c r="N24" s="29"/>
      <c r="O24" s="6"/>
    </row>
    <row r="25" spans="1:15" ht="15.75">
      <c r="A25" s="28"/>
      <c r="B25" s="32" t="s">
        <v>15</v>
      </c>
      <c r="C25" s="32"/>
      <c r="D25" s="35" t="s">
        <v>170</v>
      </c>
      <c r="E25" s="35"/>
      <c r="F25" s="35"/>
      <c r="G25" s="35" t="s">
        <v>187</v>
      </c>
      <c r="H25" s="35"/>
      <c r="I25" s="35" t="s">
        <v>200</v>
      </c>
      <c r="J25" s="35"/>
      <c r="K25" s="35"/>
      <c r="L25" s="36"/>
      <c r="M25" s="31"/>
      <c r="N25" s="29"/>
      <c r="O25" s="6"/>
    </row>
    <row r="26" spans="1:15" ht="15.75">
      <c r="A26" s="28"/>
      <c r="B26" s="29" t="s">
        <v>16</v>
      </c>
      <c r="C26" s="29"/>
      <c r="D26" s="37" t="s">
        <v>171</v>
      </c>
      <c r="E26" s="37"/>
      <c r="F26" s="30"/>
      <c r="G26" s="37" t="s">
        <v>188</v>
      </c>
      <c r="H26" s="30"/>
      <c r="I26" s="37" t="s">
        <v>201</v>
      </c>
      <c r="J26" s="30"/>
      <c r="K26" s="37"/>
      <c r="L26" s="31"/>
      <c r="M26" s="31"/>
      <c r="N26" s="29"/>
      <c r="O26" s="6"/>
    </row>
    <row r="27" spans="1:15" ht="15.75">
      <c r="A27" s="28"/>
      <c r="B27" s="29"/>
      <c r="C27" s="29"/>
      <c r="D27" s="29"/>
      <c r="E27" s="29"/>
      <c r="F27" s="30"/>
      <c r="G27" s="30"/>
      <c r="H27" s="30"/>
      <c r="I27" s="30"/>
      <c r="J27" s="30"/>
      <c r="K27" s="30"/>
      <c r="L27" s="31"/>
      <c r="M27" s="31"/>
      <c r="N27" s="29"/>
      <c r="O27" s="6"/>
    </row>
    <row r="28" spans="1:15" ht="15.75">
      <c r="A28" s="28"/>
      <c r="B28" s="29" t="s">
        <v>17</v>
      </c>
      <c r="C28" s="29"/>
      <c r="D28" s="38" t="s">
        <v>172</v>
      </c>
      <c r="E28" s="38">
        <v>168668</v>
      </c>
      <c r="F28" s="39"/>
      <c r="G28" s="38">
        <v>16580</v>
      </c>
      <c r="H28" s="38"/>
      <c r="I28" s="38">
        <v>9750</v>
      </c>
      <c r="J28" s="38"/>
      <c r="K28" s="38"/>
      <c r="L28" s="39" t="s">
        <v>172</v>
      </c>
      <c r="M28" s="38">
        <f>K28+I28+G28+E28</f>
        <v>194998</v>
      </c>
      <c r="N28" s="40"/>
      <c r="O28" s="6"/>
    </row>
    <row r="29" spans="1:15" ht="15.75">
      <c r="A29" s="28"/>
      <c r="B29" s="29" t="s">
        <v>18</v>
      </c>
      <c r="C29" s="41">
        <f>M28/M29</f>
        <v>1</v>
      </c>
      <c r="D29" s="38" t="s">
        <v>173</v>
      </c>
      <c r="E29" s="38">
        <v>168668</v>
      </c>
      <c r="F29" s="39"/>
      <c r="G29" s="38">
        <v>16580</v>
      </c>
      <c r="H29" s="38"/>
      <c r="I29" s="38">
        <v>9750</v>
      </c>
      <c r="J29" s="42"/>
      <c r="K29" s="38"/>
      <c r="L29" s="39" t="s">
        <v>172</v>
      </c>
      <c r="M29" s="38">
        <f>K29+I29+G29+E29</f>
        <v>194998</v>
      </c>
      <c r="N29" s="40"/>
      <c r="O29" s="6"/>
    </row>
    <row r="30" spans="1:15" ht="15.75">
      <c r="A30" s="43"/>
      <c r="B30" s="32" t="s">
        <v>19</v>
      </c>
      <c r="C30" s="44">
        <f>M29/M30</f>
        <v>1</v>
      </c>
      <c r="D30" s="45" t="s">
        <v>172</v>
      </c>
      <c r="E30" s="45">
        <v>168668</v>
      </c>
      <c r="F30" s="46"/>
      <c r="G30" s="45">
        <v>16580</v>
      </c>
      <c r="H30" s="45"/>
      <c r="I30" s="45">
        <v>9750</v>
      </c>
      <c r="J30" s="45"/>
      <c r="K30" s="45"/>
      <c r="L30" s="46" t="s">
        <v>172</v>
      </c>
      <c r="M30" s="45">
        <f>K30+I30+G30+E30</f>
        <v>194998</v>
      </c>
      <c r="N30" s="29"/>
      <c r="O30" s="6"/>
    </row>
    <row r="31" spans="1:15" ht="15.75">
      <c r="A31" s="28"/>
      <c r="B31" s="29" t="s">
        <v>20</v>
      </c>
      <c r="C31" s="140"/>
      <c r="D31" s="37" t="s">
        <v>174</v>
      </c>
      <c r="E31" s="37"/>
      <c r="F31" s="29"/>
      <c r="G31" s="37" t="s">
        <v>189</v>
      </c>
      <c r="H31" s="37"/>
      <c r="I31" s="37" t="s">
        <v>202</v>
      </c>
      <c r="J31" s="37"/>
      <c r="K31" s="37"/>
      <c r="L31" s="31"/>
      <c r="M31" s="31"/>
      <c r="N31" s="29"/>
      <c r="O31" s="6"/>
    </row>
    <row r="32" spans="1:15" ht="15.75">
      <c r="A32" s="28"/>
      <c r="B32" s="29" t="s">
        <v>21</v>
      </c>
      <c r="C32" s="140"/>
      <c r="D32" s="48" t="s">
        <v>175</v>
      </c>
      <c r="E32" s="49">
        <v>0.045325</v>
      </c>
      <c r="F32" s="50"/>
      <c r="G32" s="48">
        <v>0.049575</v>
      </c>
      <c r="H32" s="48"/>
      <c r="I32" s="48">
        <v>0.059575</v>
      </c>
      <c r="J32" s="51"/>
      <c r="K32" s="48"/>
      <c r="L32" s="31"/>
      <c r="M32" s="51">
        <f>SUMPRODUCT(E32:K32,E30:K30)/M30</f>
        <v>0.04639886998841014</v>
      </c>
      <c r="N32" s="29"/>
      <c r="O32" s="6"/>
    </row>
    <row r="33" spans="1:15" ht="15.75">
      <c r="A33" s="28"/>
      <c r="B33" s="29" t="s">
        <v>22</v>
      </c>
      <c r="C33" s="140"/>
      <c r="D33" s="48">
        <v>0.02407</v>
      </c>
      <c r="E33" s="48"/>
      <c r="F33" s="50"/>
      <c r="G33" s="48" t="s">
        <v>175</v>
      </c>
      <c r="H33" s="48"/>
      <c r="I33" s="48" t="s">
        <v>175</v>
      </c>
      <c r="J33" s="51"/>
      <c r="K33" s="48"/>
      <c r="L33" s="31"/>
      <c r="M33" s="51"/>
      <c r="N33" s="29"/>
      <c r="O33" s="6"/>
    </row>
    <row r="34" spans="1:15" ht="15.75">
      <c r="A34" s="28"/>
      <c r="B34" s="29" t="s">
        <v>23</v>
      </c>
      <c r="C34" s="140"/>
      <c r="D34" s="48" t="s">
        <v>175</v>
      </c>
      <c r="E34" s="48"/>
      <c r="F34" s="48"/>
      <c r="G34" s="48">
        <v>0.0477938</v>
      </c>
      <c r="H34" s="48"/>
      <c r="I34" s="48">
        <v>0.0577938</v>
      </c>
      <c r="J34" s="51"/>
      <c r="K34" s="48"/>
      <c r="L34" s="31"/>
      <c r="M34" s="31"/>
      <c r="N34" s="29"/>
      <c r="O34" s="6"/>
    </row>
    <row r="35" spans="1:15" ht="15.75">
      <c r="A35" s="28"/>
      <c r="B35" s="29" t="s">
        <v>24</v>
      </c>
      <c r="C35" s="140"/>
      <c r="D35" s="48">
        <v>0.02511</v>
      </c>
      <c r="E35" s="48"/>
      <c r="F35" s="50"/>
      <c r="G35" s="48" t="s">
        <v>175</v>
      </c>
      <c r="H35" s="48"/>
      <c r="I35" s="48" t="s">
        <v>175</v>
      </c>
      <c r="J35" s="51"/>
      <c r="K35" s="48"/>
      <c r="L35" s="31"/>
      <c r="M35" s="31"/>
      <c r="N35" s="29"/>
      <c r="O35" s="6"/>
    </row>
    <row r="36" spans="1:15" ht="15.75">
      <c r="A36" s="28"/>
      <c r="B36" s="29" t="s">
        <v>25</v>
      </c>
      <c r="C36" s="140"/>
      <c r="D36" s="37" t="s">
        <v>176</v>
      </c>
      <c r="E36" s="37"/>
      <c r="F36" s="29"/>
      <c r="G36" s="37" t="s">
        <v>176</v>
      </c>
      <c r="H36" s="37"/>
      <c r="I36" s="37" t="s">
        <v>176</v>
      </c>
      <c r="J36" s="37"/>
      <c r="K36" s="37"/>
      <c r="L36" s="31"/>
      <c r="M36" s="31"/>
      <c r="N36" s="29"/>
      <c r="O36" s="6"/>
    </row>
    <row r="37" spans="1:15" ht="15.75">
      <c r="A37" s="28"/>
      <c r="B37" s="29" t="s">
        <v>26</v>
      </c>
      <c r="C37" s="29"/>
      <c r="D37" s="52">
        <v>39036</v>
      </c>
      <c r="E37" s="52"/>
      <c r="F37" s="29"/>
      <c r="G37" s="52">
        <v>39036</v>
      </c>
      <c r="H37" s="52"/>
      <c r="I37" s="52">
        <v>39036</v>
      </c>
      <c r="J37" s="37"/>
      <c r="K37" s="37"/>
      <c r="L37" s="31"/>
      <c r="M37" s="31"/>
      <c r="N37" s="29"/>
      <c r="O37" s="6"/>
    </row>
    <row r="38" spans="1:15" ht="15.75">
      <c r="A38" s="28"/>
      <c r="B38" s="29" t="s">
        <v>27</v>
      </c>
      <c r="C38" s="29"/>
      <c r="D38" s="37" t="s">
        <v>177</v>
      </c>
      <c r="E38" s="37"/>
      <c r="F38" s="29"/>
      <c r="G38" s="37" t="s">
        <v>190</v>
      </c>
      <c r="H38" s="37"/>
      <c r="I38" s="37" t="s">
        <v>203</v>
      </c>
      <c r="J38" s="37"/>
      <c r="K38" s="37"/>
      <c r="L38" s="31"/>
      <c r="M38" s="31"/>
      <c r="N38" s="29"/>
      <c r="O38" s="6"/>
    </row>
    <row r="39" spans="1:15" ht="15.75">
      <c r="A39" s="28"/>
      <c r="B39" s="29"/>
      <c r="C39" s="29"/>
      <c r="D39" s="29"/>
      <c r="E39" s="53"/>
      <c r="F39" s="53"/>
      <c r="G39" s="29"/>
      <c r="H39" s="53"/>
      <c r="I39" s="174"/>
      <c r="J39" s="53"/>
      <c r="K39" s="53"/>
      <c r="L39" s="53"/>
      <c r="M39" s="53"/>
      <c r="N39" s="29"/>
      <c r="O39" s="6"/>
    </row>
    <row r="40" spans="1:15" ht="15.75">
      <c r="A40" s="28"/>
      <c r="B40" s="29" t="s">
        <v>28</v>
      </c>
      <c r="C40" s="29"/>
      <c r="D40" s="29"/>
      <c r="E40" s="29"/>
      <c r="F40" s="29"/>
      <c r="G40" s="50"/>
      <c r="H40" s="29"/>
      <c r="I40" s="50"/>
      <c r="J40" s="29"/>
      <c r="K40" s="29"/>
      <c r="L40" s="29"/>
      <c r="M40" s="51">
        <f>(I28+G28)/(E28)</f>
        <v>0.15610548533213175</v>
      </c>
      <c r="N40" s="29"/>
      <c r="O40" s="6"/>
    </row>
    <row r="41" spans="1:15" ht="15.75">
      <c r="A41" s="28"/>
      <c r="B41" s="29" t="s">
        <v>29</v>
      </c>
      <c r="C41" s="29"/>
      <c r="D41" s="29"/>
      <c r="E41" s="29"/>
      <c r="F41" s="29"/>
      <c r="G41" s="50"/>
      <c r="H41" s="29"/>
      <c r="I41" s="50"/>
      <c r="J41" s="29"/>
      <c r="K41" s="29"/>
      <c r="L41" s="29"/>
      <c r="M41" s="51">
        <f>(I30+G30)/(E30)</f>
        <v>0.15610548533213175</v>
      </c>
      <c r="N41" s="29"/>
      <c r="O41" s="6"/>
    </row>
    <row r="42" spans="1:15" ht="15.75">
      <c r="A42" s="28"/>
      <c r="B42" s="29" t="s">
        <v>30</v>
      </c>
      <c r="C42" s="29"/>
      <c r="D42" s="29"/>
      <c r="E42" s="29"/>
      <c r="F42" s="29"/>
      <c r="G42" s="29"/>
      <c r="H42" s="29"/>
      <c r="I42" s="29"/>
      <c r="J42" s="29"/>
      <c r="K42" s="37" t="s">
        <v>168</v>
      </c>
      <c r="L42" s="37" t="s">
        <v>216</v>
      </c>
      <c r="M42" s="38">
        <v>60336</v>
      </c>
      <c r="N42" s="29"/>
      <c r="O42" s="6"/>
    </row>
    <row r="43" spans="1:15" ht="15.75">
      <c r="A43" s="28"/>
      <c r="B43" s="29"/>
      <c r="C43" s="29"/>
      <c r="D43" s="29"/>
      <c r="E43" s="29"/>
      <c r="F43" s="29"/>
      <c r="G43" s="29"/>
      <c r="H43" s="29"/>
      <c r="I43" s="29"/>
      <c r="J43" s="29"/>
      <c r="K43" s="29"/>
      <c r="L43" s="29"/>
      <c r="M43" s="54"/>
      <c r="N43" s="29"/>
      <c r="O43" s="6"/>
    </row>
    <row r="44" spans="1:15" ht="15.75">
      <c r="A44" s="28"/>
      <c r="B44" s="29" t="s">
        <v>31</v>
      </c>
      <c r="C44" s="29"/>
      <c r="D44" s="29"/>
      <c r="E44" s="29"/>
      <c r="F44" s="29"/>
      <c r="G44" s="29"/>
      <c r="H44" s="29"/>
      <c r="I44" s="29"/>
      <c r="J44" s="29"/>
      <c r="K44" s="37"/>
      <c r="L44" s="37"/>
      <c r="M44" s="37" t="s">
        <v>219</v>
      </c>
      <c r="N44" s="29"/>
      <c r="O44" s="6"/>
    </row>
    <row r="45" spans="1:15" ht="15.75">
      <c r="A45" s="43"/>
      <c r="B45" s="32" t="s">
        <v>32</v>
      </c>
      <c r="C45" s="32"/>
      <c r="D45" s="32"/>
      <c r="E45" s="32"/>
      <c r="F45" s="32"/>
      <c r="G45" s="32"/>
      <c r="H45" s="32"/>
      <c r="I45" s="32"/>
      <c r="J45" s="32"/>
      <c r="K45" s="55"/>
      <c r="L45" s="55"/>
      <c r="M45" s="56">
        <v>38124</v>
      </c>
      <c r="N45" s="32"/>
      <c r="O45" s="6"/>
    </row>
    <row r="46" spans="1:15" ht="15.75">
      <c r="A46" s="28"/>
      <c r="B46" s="29" t="s">
        <v>33</v>
      </c>
      <c r="C46" s="29"/>
      <c r="D46" s="29"/>
      <c r="E46" s="29"/>
      <c r="F46" s="29"/>
      <c r="G46" s="29"/>
      <c r="H46" s="29"/>
      <c r="I46" s="31"/>
      <c r="J46" s="29">
        <f>M46-K46+1</f>
        <v>91</v>
      </c>
      <c r="K46" s="58">
        <v>37942</v>
      </c>
      <c r="L46" s="59"/>
      <c r="M46" s="58">
        <v>38032</v>
      </c>
      <c r="N46" s="29"/>
      <c r="O46" s="6"/>
    </row>
    <row r="47" spans="1:15" ht="15.75">
      <c r="A47" s="28"/>
      <c r="B47" s="29" t="s">
        <v>34</v>
      </c>
      <c r="C47" s="29"/>
      <c r="D47" s="29"/>
      <c r="E47" s="29"/>
      <c r="F47" s="29"/>
      <c r="G47" s="29"/>
      <c r="H47" s="29"/>
      <c r="I47" s="31"/>
      <c r="J47" s="29">
        <f>M47-K47+1</f>
        <v>91</v>
      </c>
      <c r="K47" s="58">
        <v>38033</v>
      </c>
      <c r="L47" s="59"/>
      <c r="M47" s="58">
        <v>38123</v>
      </c>
      <c r="N47" s="29"/>
      <c r="O47" s="6"/>
    </row>
    <row r="48" spans="1:15" ht="15.75">
      <c r="A48" s="28"/>
      <c r="B48" s="29" t="s">
        <v>35</v>
      </c>
      <c r="C48" s="29"/>
      <c r="D48" s="29"/>
      <c r="E48" s="29"/>
      <c r="F48" s="29"/>
      <c r="G48" s="29"/>
      <c r="H48" s="29"/>
      <c r="I48" s="29"/>
      <c r="J48" s="29"/>
      <c r="K48" s="58"/>
      <c r="L48" s="59"/>
      <c r="M48" s="58" t="s">
        <v>220</v>
      </c>
      <c r="N48" s="29"/>
      <c r="O48" s="6"/>
    </row>
    <row r="49" spans="1:15" ht="15.75">
      <c r="A49" s="28"/>
      <c r="B49" s="29" t="s">
        <v>36</v>
      </c>
      <c r="C49" s="29"/>
      <c r="D49" s="29"/>
      <c r="E49" s="29"/>
      <c r="F49" s="29"/>
      <c r="G49" s="29"/>
      <c r="H49" s="29"/>
      <c r="I49" s="29"/>
      <c r="J49" s="29"/>
      <c r="K49" s="58"/>
      <c r="L49" s="59"/>
      <c r="M49" s="58" t="s">
        <v>246</v>
      </c>
      <c r="N49" s="29"/>
      <c r="O49" s="6"/>
    </row>
    <row r="50" spans="1:15" ht="15.75">
      <c r="A50" s="28"/>
      <c r="B50" s="29" t="s">
        <v>37</v>
      </c>
      <c r="C50" s="29"/>
      <c r="D50" s="29"/>
      <c r="E50" s="29"/>
      <c r="F50" s="29"/>
      <c r="G50" s="29"/>
      <c r="H50" s="29"/>
      <c r="I50" s="29"/>
      <c r="J50" s="29"/>
      <c r="K50" s="58"/>
      <c r="L50" s="59"/>
      <c r="M50" s="58">
        <v>38112</v>
      </c>
      <c r="N50" s="29"/>
      <c r="O50" s="6"/>
    </row>
    <row r="51" spans="1:15" ht="15.75">
      <c r="A51" s="28"/>
      <c r="B51" s="29"/>
      <c r="C51" s="29"/>
      <c r="D51" s="29"/>
      <c r="E51" s="29"/>
      <c r="F51" s="29"/>
      <c r="G51" s="29"/>
      <c r="H51" s="29"/>
      <c r="I51" s="29"/>
      <c r="J51" s="29"/>
      <c r="K51" s="29"/>
      <c r="L51" s="29"/>
      <c r="M51" s="60"/>
      <c r="N51" s="29"/>
      <c r="O51" s="6"/>
    </row>
    <row r="52" spans="1:15" ht="15.75">
      <c r="A52" s="7"/>
      <c r="B52" s="9"/>
      <c r="C52" s="9"/>
      <c r="D52" s="9"/>
      <c r="E52" s="9"/>
      <c r="F52" s="9"/>
      <c r="G52" s="9"/>
      <c r="H52" s="9"/>
      <c r="I52" s="9"/>
      <c r="J52" s="9"/>
      <c r="K52" s="9"/>
      <c r="L52" s="9"/>
      <c r="M52" s="61"/>
      <c r="N52" s="9"/>
      <c r="O52" s="6"/>
    </row>
    <row r="53" spans="1:15" ht="16.5" thickBot="1">
      <c r="A53" s="134"/>
      <c r="B53" s="135" t="s">
        <v>247</v>
      </c>
      <c r="C53" s="136"/>
      <c r="D53" s="136"/>
      <c r="E53" s="136"/>
      <c r="F53" s="136"/>
      <c r="G53" s="136"/>
      <c r="H53" s="136"/>
      <c r="I53" s="136"/>
      <c r="J53" s="136"/>
      <c r="K53" s="136"/>
      <c r="L53" s="136"/>
      <c r="M53" s="137"/>
      <c r="N53" s="138"/>
      <c r="O53" s="6"/>
    </row>
    <row r="54" spans="1:15" ht="15.75">
      <c r="A54" s="2"/>
      <c r="B54" s="5"/>
      <c r="C54" s="5"/>
      <c r="D54" s="5"/>
      <c r="E54" s="5"/>
      <c r="F54" s="5"/>
      <c r="G54" s="5"/>
      <c r="H54" s="5"/>
      <c r="I54" s="5"/>
      <c r="J54" s="5"/>
      <c r="K54" s="5"/>
      <c r="L54" s="5"/>
      <c r="M54" s="62"/>
      <c r="N54" s="5"/>
      <c r="O54" s="6"/>
    </row>
    <row r="55" spans="1:15" ht="15" customHeight="1">
      <c r="A55" s="7"/>
      <c r="B55" s="63" t="s">
        <v>39</v>
      </c>
      <c r="C55" s="15"/>
      <c r="D55" s="15"/>
      <c r="E55" s="9"/>
      <c r="F55" s="9"/>
      <c r="G55" s="9"/>
      <c r="H55" s="9"/>
      <c r="I55" s="9"/>
      <c r="J55" s="9"/>
      <c r="K55" s="9"/>
      <c r="L55" s="9"/>
      <c r="M55" s="64"/>
      <c r="N55" s="9"/>
      <c r="O55" s="6"/>
    </row>
    <row r="56" spans="1:15" ht="15.75">
      <c r="A56" s="7"/>
      <c r="B56" s="15"/>
      <c r="C56" s="15"/>
      <c r="D56" s="15"/>
      <c r="E56" s="9"/>
      <c r="F56" s="9"/>
      <c r="G56" s="9"/>
      <c r="H56" s="9"/>
      <c r="I56" s="9"/>
      <c r="J56" s="9"/>
      <c r="K56" s="9"/>
      <c r="L56" s="9"/>
      <c r="M56" s="64"/>
      <c r="N56" s="9"/>
      <c r="O56" s="6"/>
    </row>
    <row r="57" spans="1:15" s="156" customFormat="1" ht="47.25">
      <c r="A57" s="150"/>
      <c r="B57" s="151" t="s">
        <v>40</v>
      </c>
      <c r="C57" s="152" t="s">
        <v>167</v>
      </c>
      <c r="D57" s="152"/>
      <c r="E57" s="152" t="s">
        <v>180</v>
      </c>
      <c r="F57" s="152"/>
      <c r="G57" s="152" t="s">
        <v>191</v>
      </c>
      <c r="H57" s="152"/>
      <c r="I57" s="152" t="s">
        <v>204</v>
      </c>
      <c r="J57" s="152"/>
      <c r="K57" s="152" t="s">
        <v>209</v>
      </c>
      <c r="L57" s="152"/>
      <c r="M57" s="153" t="s">
        <v>222</v>
      </c>
      <c r="N57" s="154"/>
      <c r="O57" s="155"/>
    </row>
    <row r="58" spans="1:15" ht="15.75">
      <c r="A58" s="28"/>
      <c r="B58" s="29" t="s">
        <v>41</v>
      </c>
      <c r="C58" s="65">
        <v>73021</v>
      </c>
      <c r="D58" s="65"/>
      <c r="E58" s="65">
        <v>99018</v>
      </c>
      <c r="F58" s="65"/>
      <c r="G58" s="65">
        <f>16385+28+37</f>
        <v>16450</v>
      </c>
      <c r="H58" s="65"/>
      <c r="I58" s="65">
        <v>23590</v>
      </c>
      <c r="J58" s="65"/>
      <c r="K58" s="65">
        <v>0</v>
      </c>
      <c r="L58" s="65"/>
      <c r="M58" s="66">
        <f>E58-G58+I58-K58</f>
        <v>106158</v>
      </c>
      <c r="N58" s="29"/>
      <c r="O58" s="6"/>
    </row>
    <row r="59" spans="1:15" ht="15.75">
      <c r="A59" s="28"/>
      <c r="B59" s="29" t="s">
        <v>42</v>
      </c>
      <c r="C59" s="65">
        <v>506</v>
      </c>
      <c r="D59" s="65"/>
      <c r="E59" s="65">
        <v>0</v>
      </c>
      <c r="F59" s="65"/>
      <c r="G59" s="65">
        <v>116</v>
      </c>
      <c r="H59" s="65"/>
      <c r="I59" s="65">
        <v>116</v>
      </c>
      <c r="J59" s="65"/>
      <c r="K59" s="65">
        <v>0</v>
      </c>
      <c r="L59" s="65"/>
      <c r="M59" s="66">
        <f>E59-G59+I59-K59</f>
        <v>0</v>
      </c>
      <c r="N59" s="29"/>
      <c r="O59" s="6"/>
    </row>
    <row r="60" spans="1:15" ht="15.75">
      <c r="A60" s="28"/>
      <c r="B60" s="29"/>
      <c r="C60" s="65"/>
      <c r="D60" s="65"/>
      <c r="E60" s="65"/>
      <c r="F60" s="65"/>
      <c r="G60" s="65"/>
      <c r="H60" s="65"/>
      <c r="I60" s="65"/>
      <c r="J60" s="65"/>
      <c r="K60" s="65"/>
      <c r="L60" s="65"/>
      <c r="M60" s="66"/>
      <c r="N60" s="29"/>
      <c r="O60" s="6"/>
    </row>
    <row r="61" spans="1:15" ht="15.75">
      <c r="A61" s="28"/>
      <c r="B61" s="29" t="s">
        <v>43</v>
      </c>
      <c r="C61" s="65">
        <f>SUM(C58:C60)</f>
        <v>73527</v>
      </c>
      <c r="D61" s="65"/>
      <c r="E61" s="65">
        <f>SUM(E58:E60)</f>
        <v>99018</v>
      </c>
      <c r="F61" s="65"/>
      <c r="G61" s="65">
        <f>SUM(G58:G60)</f>
        <v>16566</v>
      </c>
      <c r="H61" s="65"/>
      <c r="I61" s="65">
        <f>SUM(I58:I60)</f>
        <v>23706</v>
      </c>
      <c r="J61" s="65"/>
      <c r="K61" s="65">
        <f>SUM(K58:K60)</f>
        <v>0</v>
      </c>
      <c r="L61" s="65"/>
      <c r="M61" s="67">
        <f>SUM(M58:M60)</f>
        <v>106158</v>
      </c>
      <c r="N61" s="29"/>
      <c r="O61" s="6"/>
    </row>
    <row r="62" spans="1:15" ht="15.75">
      <c r="A62" s="28"/>
      <c r="B62" s="29"/>
      <c r="C62" s="65"/>
      <c r="D62" s="65"/>
      <c r="E62" s="65"/>
      <c r="F62" s="65"/>
      <c r="G62" s="65"/>
      <c r="H62" s="65"/>
      <c r="I62" s="65"/>
      <c r="J62" s="65"/>
      <c r="K62" s="65"/>
      <c r="L62" s="65"/>
      <c r="M62" s="67"/>
      <c r="N62" s="29"/>
      <c r="O62" s="6"/>
    </row>
    <row r="63" spans="1:15" ht="15.75">
      <c r="A63" s="7"/>
      <c r="B63" s="144" t="s">
        <v>44</v>
      </c>
      <c r="C63" s="68"/>
      <c r="D63" s="68"/>
      <c r="E63" s="68"/>
      <c r="F63" s="68"/>
      <c r="G63" s="69"/>
      <c r="H63" s="68"/>
      <c r="I63" s="68"/>
      <c r="J63" s="68"/>
      <c r="K63" s="68"/>
      <c r="L63" s="68"/>
      <c r="M63" s="70"/>
      <c r="N63" s="9"/>
      <c r="O63" s="6"/>
    </row>
    <row r="64" spans="1:15" ht="15.75">
      <c r="A64" s="7"/>
      <c r="B64" s="9"/>
      <c r="C64" s="68"/>
      <c r="D64" s="68"/>
      <c r="E64" s="68"/>
      <c r="F64" s="68"/>
      <c r="G64" s="68"/>
      <c r="H64" s="68"/>
      <c r="I64" s="68"/>
      <c r="J64" s="68"/>
      <c r="K64" s="68"/>
      <c r="L64" s="68"/>
      <c r="M64" s="70"/>
      <c r="N64" s="9"/>
      <c r="O64" s="6"/>
    </row>
    <row r="65" spans="1:15" ht="15.75">
      <c r="A65" s="28"/>
      <c r="B65" s="29" t="s">
        <v>41</v>
      </c>
      <c r="C65" s="65">
        <v>79997</v>
      </c>
      <c r="D65" s="65"/>
      <c r="E65" s="66">
        <v>69612</v>
      </c>
      <c r="F65" s="65"/>
      <c r="G65" s="65">
        <f>12451+424</f>
        <v>12875</v>
      </c>
      <c r="H65" s="65"/>
      <c r="I65" s="65">
        <v>5016</v>
      </c>
      <c r="J65" s="65"/>
      <c r="K65" s="65"/>
      <c r="L65" s="65"/>
      <c r="M65" s="66">
        <f>E65-G65+I65-K65</f>
        <v>61753</v>
      </c>
      <c r="N65" s="29"/>
      <c r="O65" s="6"/>
    </row>
    <row r="66" spans="1:15" ht="15.75">
      <c r="A66" s="28"/>
      <c r="B66" s="29" t="s">
        <v>42</v>
      </c>
      <c r="C66" s="65">
        <v>611</v>
      </c>
      <c r="D66" s="65"/>
      <c r="E66" s="66">
        <v>0</v>
      </c>
      <c r="F66" s="65"/>
      <c r="G66" s="65">
        <v>35</v>
      </c>
      <c r="H66" s="65"/>
      <c r="I66" s="65">
        <v>35</v>
      </c>
      <c r="J66" s="65"/>
      <c r="K66" s="65"/>
      <c r="L66" s="65"/>
      <c r="M66" s="66">
        <f>E66-G66+I66-K66</f>
        <v>0</v>
      </c>
      <c r="N66" s="29"/>
      <c r="O66" s="6"/>
    </row>
    <row r="67" spans="1:15" ht="15.75">
      <c r="A67" s="28"/>
      <c r="B67" s="65"/>
      <c r="C67" s="65"/>
      <c r="D67" s="65"/>
      <c r="E67" s="66"/>
      <c r="F67" s="65"/>
      <c r="G67" s="65"/>
      <c r="H67" s="65"/>
      <c r="I67" s="65"/>
      <c r="J67" s="65"/>
      <c r="K67" s="65"/>
      <c r="L67" s="65"/>
      <c r="M67" s="66"/>
      <c r="N67" s="29"/>
      <c r="O67" s="6"/>
    </row>
    <row r="68" spans="1:15" ht="15.75">
      <c r="A68" s="28"/>
      <c r="B68" s="29" t="s">
        <v>43</v>
      </c>
      <c r="C68" s="65">
        <f>SUM(C65:C67)</f>
        <v>80608</v>
      </c>
      <c r="D68" s="65"/>
      <c r="E68" s="65">
        <f>E65</f>
        <v>69612</v>
      </c>
      <c r="F68" s="65"/>
      <c r="G68" s="65">
        <f>SUM(G65:G67)</f>
        <v>12910</v>
      </c>
      <c r="H68" s="65"/>
      <c r="I68" s="65">
        <f>SUM(I65:I67)</f>
        <v>5051</v>
      </c>
      <c r="J68" s="65"/>
      <c r="K68" s="65">
        <f>SUM(K65:K67)</f>
        <v>0</v>
      </c>
      <c r="L68" s="65"/>
      <c r="M68" s="65">
        <f>SUM(M65:M67)</f>
        <v>61753</v>
      </c>
      <c r="N68" s="29"/>
      <c r="O68" s="6"/>
    </row>
    <row r="69" spans="1:15" ht="15.75">
      <c r="A69" s="28"/>
      <c r="B69" s="29"/>
      <c r="C69" s="65"/>
      <c r="D69" s="65"/>
      <c r="E69" s="67"/>
      <c r="F69" s="65"/>
      <c r="G69" s="65"/>
      <c r="H69" s="65"/>
      <c r="I69" s="65"/>
      <c r="J69" s="65"/>
      <c r="K69" s="65"/>
      <c r="L69" s="65"/>
      <c r="M69" s="67"/>
      <c r="N69" s="29"/>
      <c r="O69" s="6"/>
    </row>
    <row r="70" spans="1:15" ht="15.75">
      <c r="A70" s="28"/>
      <c r="B70" s="29" t="s">
        <v>45</v>
      </c>
      <c r="C70" s="65">
        <v>0</v>
      </c>
      <c r="D70" s="65"/>
      <c r="E70" s="65">
        <v>0</v>
      </c>
      <c r="F70" s="65"/>
      <c r="G70" s="65"/>
      <c r="H70" s="65"/>
      <c r="I70" s="65"/>
      <c r="J70" s="65"/>
      <c r="K70" s="65"/>
      <c r="L70" s="65"/>
      <c r="M70" s="65">
        <f>E70+G70</f>
        <v>0</v>
      </c>
      <c r="N70" s="29"/>
      <c r="O70" s="6"/>
    </row>
    <row r="71" spans="1:16" ht="15.75">
      <c r="A71" s="28"/>
      <c r="B71" s="29" t="s">
        <v>46</v>
      </c>
      <c r="C71" s="65">
        <v>0</v>
      </c>
      <c r="D71" s="65"/>
      <c r="E71" s="67">
        <v>2926</v>
      </c>
      <c r="F71" s="65"/>
      <c r="G71" s="65"/>
      <c r="H71" s="65"/>
      <c r="I71" s="65">
        <v>0</v>
      </c>
      <c r="J71" s="65"/>
      <c r="K71" s="65"/>
      <c r="L71" s="65"/>
      <c r="M71" s="67">
        <f>E71+I71</f>
        <v>2926</v>
      </c>
      <c r="N71" s="29"/>
      <c r="O71" s="6"/>
      <c r="P71" s="143"/>
    </row>
    <row r="72" spans="1:18" ht="15.75">
      <c r="A72" s="28"/>
      <c r="B72" s="29" t="s">
        <v>47</v>
      </c>
      <c r="C72" s="65">
        <v>40958</v>
      </c>
      <c r="D72" s="65"/>
      <c r="E72" s="67">
        <v>18223</v>
      </c>
      <c r="F72" s="65"/>
      <c r="G72" s="65">
        <f>G68+G61</f>
        <v>29476</v>
      </c>
      <c r="H72" s="65"/>
      <c r="I72" s="65">
        <f>-I68-I61</f>
        <v>-28757</v>
      </c>
      <c r="J72" s="65"/>
      <c r="K72" s="65"/>
      <c r="L72" s="65"/>
      <c r="M72" s="67">
        <f>E72+G88+I72</f>
        <v>18490</v>
      </c>
      <c r="N72" s="29"/>
      <c r="O72" s="6"/>
      <c r="P72" s="131"/>
      <c r="R72" s="132"/>
    </row>
    <row r="73" spans="1:16" ht="15.75">
      <c r="A73" s="28"/>
      <c r="B73" s="29" t="s">
        <v>48</v>
      </c>
      <c r="C73" s="65">
        <v>0</v>
      </c>
      <c r="D73" s="65"/>
      <c r="E73" s="67">
        <v>8240</v>
      </c>
      <c r="F73" s="65"/>
      <c r="G73" s="65"/>
      <c r="H73" s="65"/>
      <c r="I73" s="65">
        <v>-452</v>
      </c>
      <c r="J73" s="65"/>
      <c r="K73" s="65"/>
      <c r="L73" s="65"/>
      <c r="M73" s="67">
        <f>-I73+E73</f>
        <v>8692</v>
      </c>
      <c r="N73" s="29"/>
      <c r="O73" s="6"/>
      <c r="P73" s="132"/>
    </row>
    <row r="74" spans="1:20" ht="15.75">
      <c r="A74" s="28"/>
      <c r="B74" s="29" t="s">
        <v>49</v>
      </c>
      <c r="C74" s="65">
        <v>-95</v>
      </c>
      <c r="D74" s="65"/>
      <c r="E74" s="67">
        <v>-95</v>
      </c>
      <c r="F74" s="65"/>
      <c r="G74" s="65">
        <v>0</v>
      </c>
      <c r="H74" s="65"/>
      <c r="I74" s="65"/>
      <c r="J74" s="65"/>
      <c r="K74" s="65"/>
      <c r="L74" s="65"/>
      <c r="M74" s="67">
        <f>E74+G74</f>
        <v>-95</v>
      </c>
      <c r="N74" s="29"/>
      <c r="O74" s="6"/>
      <c r="P74" s="131"/>
      <c r="R74" s="131"/>
      <c r="T74" s="131"/>
    </row>
    <row r="75" spans="1:16" ht="15.75">
      <c r="A75" s="28"/>
      <c r="B75" s="29" t="s">
        <v>50</v>
      </c>
      <c r="C75" s="65">
        <v>0</v>
      </c>
      <c r="D75" s="65"/>
      <c r="E75" s="67">
        <v>0</v>
      </c>
      <c r="F75" s="65"/>
      <c r="G75" s="65"/>
      <c r="H75" s="65"/>
      <c r="I75" s="141"/>
      <c r="J75" s="65"/>
      <c r="K75" s="65"/>
      <c r="L75" s="65"/>
      <c r="M75" s="67">
        <v>0</v>
      </c>
      <c r="N75" s="29"/>
      <c r="O75" s="6"/>
      <c r="P75" s="132"/>
    </row>
    <row r="76" spans="1:20" ht="15.75">
      <c r="A76" s="28"/>
      <c r="B76" s="29" t="s">
        <v>19</v>
      </c>
      <c r="C76" s="67">
        <f>SUM(C68:C74)+C61</f>
        <v>194998</v>
      </c>
      <c r="D76" s="67"/>
      <c r="E76" s="67">
        <f>SUM(E68:E75)+E61</f>
        <v>197924</v>
      </c>
      <c r="F76" s="65"/>
      <c r="G76" s="65">
        <f>G72-G74</f>
        <v>29476</v>
      </c>
      <c r="H76" s="65"/>
      <c r="I76" s="65"/>
      <c r="J76" s="65"/>
      <c r="K76" s="65"/>
      <c r="L76" s="65"/>
      <c r="M76" s="67">
        <f>SUM(M68:M75)+M61</f>
        <v>197924</v>
      </c>
      <c r="N76" s="29"/>
      <c r="O76" s="6"/>
      <c r="P76" s="132"/>
      <c r="R76" s="131"/>
      <c r="T76" s="131"/>
    </row>
    <row r="77" spans="1:16" ht="15.75">
      <c r="A77" s="28"/>
      <c r="B77" s="65"/>
      <c r="C77" s="65"/>
      <c r="D77" s="65"/>
      <c r="E77" s="65"/>
      <c r="F77" s="65"/>
      <c r="G77" s="65"/>
      <c r="H77" s="65"/>
      <c r="I77" s="65"/>
      <c r="J77" s="65"/>
      <c r="K77" s="65"/>
      <c r="L77" s="65"/>
      <c r="M77" s="65"/>
      <c r="N77" s="29"/>
      <c r="O77" s="6"/>
      <c r="P77" s="132"/>
    </row>
    <row r="78" spans="1:16" ht="15.75">
      <c r="A78" s="7"/>
      <c r="B78" s="68"/>
      <c r="C78" s="9"/>
      <c r="D78" s="9"/>
      <c r="E78" s="9"/>
      <c r="F78" s="9"/>
      <c r="G78" s="20" t="s">
        <v>192</v>
      </c>
      <c r="H78" s="9"/>
      <c r="I78" s="9"/>
      <c r="J78" s="9"/>
      <c r="K78" s="23"/>
      <c r="L78" s="9"/>
      <c r="M78" s="20" t="s">
        <v>192</v>
      </c>
      <c r="N78" s="9"/>
      <c r="O78" s="6"/>
      <c r="P78" s="132"/>
    </row>
    <row r="79" spans="1:19" ht="15.75">
      <c r="A79" s="7"/>
      <c r="B79" s="63" t="s">
        <v>51</v>
      </c>
      <c r="C79" s="17"/>
      <c r="D79" s="17" t="s">
        <v>178</v>
      </c>
      <c r="E79" s="17" t="s">
        <v>181</v>
      </c>
      <c r="F79" s="17"/>
      <c r="G79" s="20" t="s">
        <v>193</v>
      </c>
      <c r="H79" s="17"/>
      <c r="I79" s="17" t="s">
        <v>178</v>
      </c>
      <c r="J79" s="20"/>
      <c r="K79" s="20" t="s">
        <v>181</v>
      </c>
      <c r="L79" s="20"/>
      <c r="M79" s="20" t="s">
        <v>223</v>
      </c>
      <c r="N79" s="17"/>
      <c r="O79" s="6"/>
      <c r="P79" s="131"/>
      <c r="R79" s="132"/>
      <c r="S79" s="131"/>
    </row>
    <row r="80" spans="1:15" ht="15.75">
      <c r="A80" s="28"/>
      <c r="B80" s="29" t="s">
        <v>52</v>
      </c>
      <c r="C80" s="29"/>
      <c r="D80" s="29">
        <v>0</v>
      </c>
      <c r="E80" s="29">
        <v>0</v>
      </c>
      <c r="F80" s="29"/>
      <c r="G80" s="65">
        <f>SUM(C80:E80)</f>
        <v>0</v>
      </c>
      <c r="H80" s="29"/>
      <c r="I80" s="29">
        <v>0</v>
      </c>
      <c r="J80" s="29"/>
      <c r="K80" s="65">
        <f>SUM(G80:I80)</f>
        <v>0</v>
      </c>
      <c r="L80" s="29"/>
      <c r="M80" s="66">
        <v>0</v>
      </c>
      <c r="N80" s="29"/>
      <c r="O80" s="6"/>
    </row>
    <row r="81" spans="1:15" ht="15.75">
      <c r="A81" s="28"/>
      <c r="B81" s="29" t="s">
        <v>53</v>
      </c>
      <c r="C81" s="53"/>
      <c r="D81" s="29">
        <f>16385+37</f>
        <v>16422</v>
      </c>
      <c r="E81" s="29">
        <v>12451</v>
      </c>
      <c r="F81" s="29"/>
      <c r="G81" s="65">
        <f>E81+D81</f>
        <v>28873</v>
      </c>
      <c r="H81" s="29"/>
      <c r="I81" s="29"/>
      <c r="J81" s="29"/>
      <c r="K81" s="65">
        <v>0</v>
      </c>
      <c r="L81" s="29"/>
      <c r="M81" s="66"/>
      <c r="N81" s="29"/>
      <c r="O81" s="6"/>
    </row>
    <row r="82" spans="1:15" ht="15.75">
      <c r="A82" s="28"/>
      <c r="B82" s="29" t="s">
        <v>54</v>
      </c>
      <c r="C82" s="29"/>
      <c r="D82" s="29"/>
      <c r="E82" s="29"/>
      <c r="F82" s="29"/>
      <c r="G82" s="65"/>
      <c r="H82" s="29"/>
      <c r="I82" s="29">
        <f>1416+273+1725+339+1575+289+41-2251</f>
        <v>3407</v>
      </c>
      <c r="J82" s="29"/>
      <c r="K82" s="65">
        <f>2491+152+3140+201+2568+218+13-6442+84+65</f>
        <v>2490</v>
      </c>
      <c r="L82" s="29"/>
      <c r="M82" s="66">
        <f>K82+I82</f>
        <v>5897</v>
      </c>
      <c r="N82" s="29"/>
      <c r="O82" s="6"/>
    </row>
    <row r="83" spans="1:15" ht="15.75">
      <c r="A83" s="28"/>
      <c r="B83" s="29" t="s">
        <v>55</v>
      </c>
      <c r="C83" s="29"/>
      <c r="D83" s="29"/>
      <c r="E83" s="29"/>
      <c r="F83" s="29"/>
      <c r="G83" s="65"/>
      <c r="H83" s="29"/>
      <c r="I83" s="29"/>
      <c r="J83" s="29"/>
      <c r="K83" s="65"/>
      <c r="L83" s="29"/>
      <c r="M83" s="66">
        <f>178+65+86</f>
        <v>329</v>
      </c>
      <c r="N83" s="29"/>
      <c r="O83" s="6"/>
    </row>
    <row r="84" spans="1:20" ht="15.75">
      <c r="A84" s="28"/>
      <c r="B84" s="29" t="s">
        <v>56</v>
      </c>
      <c r="C84" s="29"/>
      <c r="D84" s="29"/>
      <c r="E84" s="29"/>
      <c r="F84" s="29"/>
      <c r="G84" s="65"/>
      <c r="H84" s="29"/>
      <c r="I84" s="29"/>
      <c r="J84" s="29"/>
      <c r="K84" s="65"/>
      <c r="L84" s="29"/>
      <c r="M84" s="66">
        <v>0</v>
      </c>
      <c r="N84" s="29"/>
      <c r="O84" s="6"/>
      <c r="P84" s="132"/>
      <c r="R84" s="132"/>
      <c r="T84" s="132"/>
    </row>
    <row r="85" spans="1:20" ht="15.75">
      <c r="A85" s="28"/>
      <c r="B85" s="29" t="s">
        <v>57</v>
      </c>
      <c r="C85" s="29"/>
      <c r="D85" s="29"/>
      <c r="E85" s="29"/>
      <c r="F85" s="29"/>
      <c r="G85" s="65"/>
      <c r="H85" s="29"/>
      <c r="I85" s="29"/>
      <c r="J85" s="29"/>
      <c r="K85" s="65"/>
      <c r="L85" s="29"/>
      <c r="M85" s="66">
        <v>0</v>
      </c>
      <c r="N85" s="29"/>
      <c r="O85" s="6"/>
      <c r="P85" s="132"/>
      <c r="R85" s="132"/>
      <c r="T85" s="132"/>
    </row>
    <row r="86" spans="1:15" ht="15.75">
      <c r="A86" s="28"/>
      <c r="B86" s="29" t="s">
        <v>58</v>
      </c>
      <c r="C86" s="29"/>
      <c r="D86" s="65">
        <f>SUM(D80:D85)</f>
        <v>16422</v>
      </c>
      <c r="E86" s="65">
        <f>SUM(E80:E85)</f>
        <v>12451</v>
      </c>
      <c r="F86" s="29"/>
      <c r="G86" s="65">
        <f>SUM(G80:G85)</f>
        <v>28873</v>
      </c>
      <c r="H86" s="29"/>
      <c r="I86" s="65">
        <f>SUM(I80:I85)</f>
        <v>3407</v>
      </c>
      <c r="J86" s="29"/>
      <c r="K86" s="65">
        <f>SUM(K80:K85)</f>
        <v>2490</v>
      </c>
      <c r="L86" s="29"/>
      <c r="M86" s="67">
        <f>SUM(M80:M85)</f>
        <v>6226</v>
      </c>
      <c r="N86" s="29"/>
      <c r="O86" s="6"/>
    </row>
    <row r="87" spans="1:20" ht="15.75">
      <c r="A87" s="28"/>
      <c r="B87" s="29" t="s">
        <v>59</v>
      </c>
      <c r="C87" s="29"/>
      <c r="D87" s="65">
        <f>G59</f>
        <v>116</v>
      </c>
      <c r="E87" s="65">
        <f>G66</f>
        <v>35</v>
      </c>
      <c r="F87" s="29"/>
      <c r="G87" s="65">
        <f>E87+D87</f>
        <v>151</v>
      </c>
      <c r="H87" s="29"/>
      <c r="I87" s="65">
        <v>0</v>
      </c>
      <c r="J87" s="29"/>
      <c r="K87" s="65">
        <v>0</v>
      </c>
      <c r="L87" s="29"/>
      <c r="M87" s="66">
        <f>-G87</f>
        <v>-151</v>
      </c>
      <c r="N87" s="29"/>
      <c r="O87" s="6"/>
      <c r="P87" s="132"/>
      <c r="R87" s="132"/>
      <c r="T87" s="132"/>
    </row>
    <row r="88" spans="1:15" ht="15.75">
      <c r="A88" s="28"/>
      <c r="B88" s="29" t="s">
        <v>60</v>
      </c>
      <c r="C88" s="29"/>
      <c r="D88" s="65">
        <f>D86+D87</f>
        <v>16538</v>
      </c>
      <c r="E88" s="65">
        <f>E86+E87</f>
        <v>12486</v>
      </c>
      <c r="F88" s="29"/>
      <c r="G88" s="65">
        <f>G86+G87</f>
        <v>29024</v>
      </c>
      <c r="H88" s="29"/>
      <c r="I88" s="65">
        <f>I86+I87</f>
        <v>3407</v>
      </c>
      <c r="J88" s="29"/>
      <c r="K88" s="65">
        <f>K86+K87</f>
        <v>2490</v>
      </c>
      <c r="L88" s="29"/>
      <c r="M88" s="67">
        <f>M86+M87</f>
        <v>6075</v>
      </c>
      <c r="N88" s="29"/>
      <c r="O88" s="6"/>
    </row>
    <row r="89" spans="1:15" ht="15.75">
      <c r="A89" s="28"/>
      <c r="B89" s="157" t="s">
        <v>61</v>
      </c>
      <c r="C89" s="72"/>
      <c r="D89" s="72"/>
      <c r="E89" s="29"/>
      <c r="F89" s="29"/>
      <c r="G89" s="29"/>
      <c r="H89" s="29"/>
      <c r="I89" s="29"/>
      <c r="J89" s="29"/>
      <c r="K89" s="65"/>
      <c r="L89" s="29"/>
      <c r="M89" s="66"/>
      <c r="N89" s="29"/>
      <c r="O89" s="6"/>
    </row>
    <row r="90" spans="1:15" ht="15.75">
      <c r="A90" s="28">
        <v>1</v>
      </c>
      <c r="B90" s="29" t="s">
        <v>62</v>
      </c>
      <c r="C90" s="29"/>
      <c r="D90" s="29"/>
      <c r="E90" s="29"/>
      <c r="F90" s="29"/>
      <c r="G90" s="29"/>
      <c r="H90" s="29"/>
      <c r="I90" s="29"/>
      <c r="J90" s="29"/>
      <c r="K90" s="29"/>
      <c r="L90" s="29"/>
      <c r="M90" s="66">
        <v>-4</v>
      </c>
      <c r="N90" s="29"/>
      <c r="O90" s="6"/>
    </row>
    <row r="91" spans="1:15" ht="15.75">
      <c r="A91" s="28">
        <v>2</v>
      </c>
      <c r="B91" s="29" t="s">
        <v>63</v>
      </c>
      <c r="C91" s="29"/>
      <c r="D91" s="29"/>
      <c r="E91" s="29"/>
      <c r="F91" s="29"/>
      <c r="G91" s="29"/>
      <c r="H91" s="29"/>
      <c r="I91" s="29"/>
      <c r="J91" s="29"/>
      <c r="K91" s="29"/>
      <c r="L91" s="29"/>
      <c r="M91" s="66">
        <f>-210-75</f>
        <v>-285</v>
      </c>
      <c r="N91" s="29"/>
      <c r="O91" s="6"/>
    </row>
    <row r="92" spans="1:15" ht="15.75">
      <c r="A92" s="28">
        <v>3</v>
      </c>
      <c r="B92" s="29" t="s">
        <v>64</v>
      </c>
      <c r="C92" s="29"/>
      <c r="D92" s="29"/>
      <c r="E92" s="29"/>
      <c r="F92" s="29"/>
      <c r="G92" s="29"/>
      <c r="H92" s="29"/>
      <c r="I92" s="29"/>
      <c r="J92" s="29"/>
      <c r="K92" s="29"/>
      <c r="L92" s="29"/>
      <c r="M92" s="66">
        <v>-1906</v>
      </c>
      <c r="N92" s="29"/>
      <c r="O92" s="6"/>
    </row>
    <row r="93" spans="1:15" ht="15.75">
      <c r="A93" s="28">
        <v>4</v>
      </c>
      <c r="B93" s="29" t="s">
        <v>227</v>
      </c>
      <c r="C93" s="29"/>
      <c r="D93" s="29"/>
      <c r="E93" s="29"/>
      <c r="F93" s="29"/>
      <c r="G93" s="29"/>
      <c r="H93" s="29"/>
      <c r="I93" s="29"/>
      <c r="J93" s="29"/>
      <c r="K93" s="29"/>
      <c r="L93" s="29"/>
      <c r="M93" s="66">
        <v>-1</v>
      </c>
      <c r="N93" s="29"/>
      <c r="O93" s="6"/>
    </row>
    <row r="94" spans="1:15" ht="15.75">
      <c r="A94" s="28">
        <v>4</v>
      </c>
      <c r="B94" s="29" t="s">
        <v>65</v>
      </c>
      <c r="C94" s="29"/>
      <c r="D94" s="29"/>
      <c r="E94" s="29"/>
      <c r="F94" s="29"/>
      <c r="G94" s="29"/>
      <c r="H94" s="29"/>
      <c r="I94" s="29"/>
      <c r="J94" s="29"/>
      <c r="K94" s="29"/>
      <c r="L94" s="29"/>
      <c r="M94" s="66">
        <v>-5</v>
      </c>
      <c r="N94" s="29"/>
      <c r="O94" s="6"/>
    </row>
    <row r="95" spans="1:15" ht="15.75">
      <c r="A95" s="28">
        <v>5</v>
      </c>
      <c r="B95" s="29" t="s">
        <v>66</v>
      </c>
      <c r="C95" s="29"/>
      <c r="D95" s="29"/>
      <c r="E95" s="29"/>
      <c r="F95" s="29"/>
      <c r="G95" s="29"/>
      <c r="H95" s="29"/>
      <c r="I95" s="29"/>
      <c r="J95" s="29"/>
      <c r="K95" s="29"/>
      <c r="L95" s="29"/>
      <c r="M95" s="66">
        <v>-204</v>
      </c>
      <c r="N95" s="29"/>
      <c r="O95" s="6"/>
    </row>
    <row r="96" spans="1:15" ht="15.75">
      <c r="A96" s="28">
        <v>6</v>
      </c>
      <c r="B96" s="29" t="s">
        <v>67</v>
      </c>
      <c r="C96" s="29"/>
      <c r="D96" s="29"/>
      <c r="E96" s="29"/>
      <c r="F96" s="29"/>
      <c r="G96" s="29"/>
      <c r="H96" s="29"/>
      <c r="I96" s="29"/>
      <c r="J96" s="29"/>
      <c r="K96" s="29"/>
      <c r="L96" s="29"/>
      <c r="M96" s="66">
        <v>-144</v>
      </c>
      <c r="N96" s="29"/>
      <c r="O96" s="6"/>
    </row>
    <row r="97" spans="1:15" ht="15.75">
      <c r="A97" s="28">
        <v>7</v>
      </c>
      <c r="B97" s="29" t="s">
        <v>68</v>
      </c>
      <c r="C97" s="29"/>
      <c r="D97" s="29"/>
      <c r="E97" s="29"/>
      <c r="F97" s="29"/>
      <c r="G97" s="29"/>
      <c r="H97" s="29"/>
      <c r="I97" s="29"/>
      <c r="J97" s="29"/>
      <c r="K97" s="29"/>
      <c r="L97" s="29"/>
      <c r="M97" s="66">
        <v>0</v>
      </c>
      <c r="N97" s="29"/>
      <c r="O97" s="6"/>
    </row>
    <row r="98" spans="1:15" ht="15.75">
      <c r="A98" s="28">
        <v>8</v>
      </c>
      <c r="B98" s="29" t="s">
        <v>69</v>
      </c>
      <c r="C98" s="29"/>
      <c r="D98" s="29"/>
      <c r="E98" s="29"/>
      <c r="F98" s="29"/>
      <c r="G98" s="29"/>
      <c r="H98" s="29"/>
      <c r="I98" s="29"/>
      <c r="J98" s="29"/>
      <c r="K98" s="65">
        <f>-M98</f>
        <v>452</v>
      </c>
      <c r="L98" s="29"/>
      <c r="M98" s="66">
        <f>I73</f>
        <v>-452</v>
      </c>
      <c r="N98" s="29"/>
      <c r="O98" s="6"/>
    </row>
    <row r="99" spans="1:15" ht="15.75">
      <c r="A99" s="28">
        <v>9</v>
      </c>
      <c r="B99" s="29" t="s">
        <v>46</v>
      </c>
      <c r="C99" s="29"/>
      <c r="D99" s="29"/>
      <c r="E99" s="29"/>
      <c r="F99" s="29"/>
      <c r="G99" s="29"/>
      <c r="H99" s="29"/>
      <c r="I99" s="29"/>
      <c r="J99" s="29"/>
      <c r="K99" s="65">
        <f>-M99</f>
        <v>0</v>
      </c>
      <c r="L99" s="29"/>
      <c r="M99" s="66">
        <v>0</v>
      </c>
      <c r="N99" s="29"/>
      <c r="O99" s="6"/>
    </row>
    <row r="100" spans="1:15" ht="15.75">
      <c r="A100" s="28">
        <v>10</v>
      </c>
      <c r="B100" s="29" t="s">
        <v>228</v>
      </c>
      <c r="C100" s="29"/>
      <c r="D100" s="29"/>
      <c r="E100" s="29"/>
      <c r="F100" s="29"/>
      <c r="G100" s="29"/>
      <c r="H100" s="29"/>
      <c r="I100" s="29"/>
      <c r="J100" s="29"/>
      <c r="K100" s="29"/>
      <c r="L100" s="29"/>
      <c r="M100" s="66">
        <v>-217</v>
      </c>
      <c r="N100" s="29"/>
      <c r="O100" s="6"/>
    </row>
    <row r="101" spans="1:15" ht="15.75">
      <c r="A101" s="28">
        <v>11</v>
      </c>
      <c r="B101" s="29" t="s">
        <v>71</v>
      </c>
      <c r="C101" s="29"/>
      <c r="D101" s="29"/>
      <c r="E101" s="29"/>
      <c r="F101" s="29"/>
      <c r="G101" s="29"/>
      <c r="H101" s="29"/>
      <c r="I101" s="29"/>
      <c r="J101" s="29"/>
      <c r="K101" s="29"/>
      <c r="L101" s="29"/>
      <c r="M101" s="66">
        <f>SUM(M88:M100)*-1</f>
        <v>-2857</v>
      </c>
      <c r="N101" s="29"/>
      <c r="O101" s="6"/>
    </row>
    <row r="102" spans="1:16" ht="15.75">
      <c r="A102" s="28"/>
      <c r="B102" s="157" t="s">
        <v>72</v>
      </c>
      <c r="C102" s="72"/>
      <c r="D102" s="72"/>
      <c r="E102" s="29"/>
      <c r="F102" s="29"/>
      <c r="G102" s="29"/>
      <c r="H102" s="29"/>
      <c r="I102" s="29"/>
      <c r="J102" s="29"/>
      <c r="K102" s="29"/>
      <c r="L102" s="29"/>
      <c r="M102" s="73"/>
      <c r="N102" s="29"/>
      <c r="O102" s="6"/>
      <c r="P102" s="132"/>
    </row>
    <row r="103" spans="1:15" ht="15.75">
      <c r="A103" s="28"/>
      <c r="B103" s="74" t="s">
        <v>73</v>
      </c>
      <c r="C103" s="72"/>
      <c r="D103" s="72"/>
      <c r="E103" s="29"/>
      <c r="F103" s="29"/>
      <c r="G103" s="29"/>
      <c r="H103" s="29"/>
      <c r="I103" s="29"/>
      <c r="J103" s="29"/>
      <c r="K103" s="65">
        <f>E72</f>
        <v>18223</v>
      </c>
      <c r="L103" s="29"/>
      <c r="M103" s="73"/>
      <c r="N103" s="29"/>
      <c r="O103" s="6"/>
    </row>
    <row r="104" spans="1:15" ht="15.75">
      <c r="A104" s="28"/>
      <c r="B104" s="74" t="s">
        <v>74</v>
      </c>
      <c r="C104" s="72"/>
      <c r="D104" s="72"/>
      <c r="E104" s="29"/>
      <c r="F104" s="29"/>
      <c r="G104" s="29"/>
      <c r="H104" s="29"/>
      <c r="I104" s="29"/>
      <c r="J104" s="29"/>
      <c r="K104" s="65">
        <f>G88</f>
        <v>29024</v>
      </c>
      <c r="L104" s="29"/>
      <c r="M104" s="73"/>
      <c r="N104" s="29"/>
      <c r="O104" s="6"/>
    </row>
    <row r="105" spans="1:15" ht="15.75">
      <c r="A105" s="142"/>
      <c r="B105" s="29" t="s">
        <v>75</v>
      </c>
      <c r="C105" s="72"/>
      <c r="D105" s="72"/>
      <c r="E105" s="29"/>
      <c r="F105" s="29"/>
      <c r="G105" s="29"/>
      <c r="H105" s="29"/>
      <c r="I105" s="29"/>
      <c r="J105" s="29"/>
      <c r="K105" s="65">
        <f>-I68-I61</f>
        <v>-28757</v>
      </c>
      <c r="L105" s="29"/>
      <c r="M105" s="73"/>
      <c r="N105" s="29"/>
      <c r="O105" s="6"/>
    </row>
    <row r="106" spans="1:15" ht="15.75">
      <c r="A106" s="28"/>
      <c r="B106" s="29" t="s">
        <v>76</v>
      </c>
      <c r="C106" s="72"/>
      <c r="D106" s="72"/>
      <c r="E106" s="29"/>
      <c r="F106" s="29"/>
      <c r="G106" s="29"/>
      <c r="H106" s="29"/>
      <c r="I106" s="29"/>
      <c r="J106" s="29"/>
      <c r="K106" s="65">
        <v>0</v>
      </c>
      <c r="L106" s="65"/>
      <c r="M106" s="66"/>
      <c r="N106" s="29"/>
      <c r="O106" s="6"/>
    </row>
    <row r="107" spans="1:15" ht="15.75">
      <c r="A107" s="28"/>
      <c r="B107" s="29" t="s">
        <v>77</v>
      </c>
      <c r="C107" s="29"/>
      <c r="D107" s="29"/>
      <c r="E107" s="29"/>
      <c r="F107" s="29"/>
      <c r="G107" s="29"/>
      <c r="H107" s="29"/>
      <c r="I107" s="29"/>
      <c r="J107" s="29"/>
      <c r="K107" s="65">
        <v>0</v>
      </c>
      <c r="L107" s="65"/>
      <c r="M107" s="66"/>
      <c r="N107" s="29"/>
      <c r="O107" s="6"/>
    </row>
    <row r="108" spans="1:15" ht="15.75">
      <c r="A108" s="28"/>
      <c r="B108" s="29" t="s">
        <v>78</v>
      </c>
      <c r="C108" s="29"/>
      <c r="D108" s="29"/>
      <c r="E108" s="29"/>
      <c r="F108" s="29"/>
      <c r="G108" s="29"/>
      <c r="H108" s="29"/>
      <c r="I108" s="29"/>
      <c r="J108" s="29"/>
      <c r="K108" s="65">
        <v>0</v>
      </c>
      <c r="L108" s="65"/>
      <c r="M108" s="66"/>
      <c r="N108" s="29"/>
      <c r="O108" s="6"/>
    </row>
    <row r="109" spans="1:15" ht="15.75">
      <c r="A109" s="28"/>
      <c r="B109" s="29" t="s">
        <v>79</v>
      </c>
      <c r="C109" s="29"/>
      <c r="D109" s="29"/>
      <c r="E109" s="29"/>
      <c r="F109" s="29"/>
      <c r="G109" s="29"/>
      <c r="H109" s="29"/>
      <c r="I109" s="29"/>
      <c r="J109" s="29"/>
      <c r="K109" s="65">
        <v>0</v>
      </c>
      <c r="L109" s="65"/>
      <c r="M109" s="66"/>
      <c r="N109" s="29"/>
      <c r="O109" s="6"/>
    </row>
    <row r="110" spans="1:15" ht="15.75">
      <c r="A110" s="28"/>
      <c r="B110" s="29" t="s">
        <v>80</v>
      </c>
      <c r="C110" s="29"/>
      <c r="D110" s="29"/>
      <c r="E110" s="29"/>
      <c r="F110" s="29"/>
      <c r="G110" s="29"/>
      <c r="H110" s="29"/>
      <c r="I110" s="29"/>
      <c r="J110" s="29"/>
      <c r="K110" s="65">
        <v>0</v>
      </c>
      <c r="L110" s="65"/>
      <c r="M110" s="66"/>
      <c r="N110" s="29"/>
      <c r="O110" s="6"/>
    </row>
    <row r="111" spans="1:15" ht="15.75">
      <c r="A111" s="28"/>
      <c r="B111" s="29" t="s">
        <v>81</v>
      </c>
      <c r="C111" s="29"/>
      <c r="D111" s="29"/>
      <c r="E111" s="29"/>
      <c r="F111" s="29"/>
      <c r="G111" s="29"/>
      <c r="H111" s="29"/>
      <c r="I111" s="29"/>
      <c r="J111" s="29"/>
      <c r="K111" s="65">
        <v>0</v>
      </c>
      <c r="L111" s="65"/>
      <c r="M111" s="66"/>
      <c r="N111" s="29"/>
      <c r="O111" s="6"/>
    </row>
    <row r="112" spans="1:15" ht="15.75">
      <c r="A112" s="28"/>
      <c r="B112" s="29" t="s">
        <v>82</v>
      </c>
      <c r="C112" s="29"/>
      <c r="D112" s="29"/>
      <c r="E112" s="29"/>
      <c r="F112" s="29"/>
      <c r="G112" s="29"/>
      <c r="H112" s="29"/>
      <c r="I112" s="29"/>
      <c r="J112" s="29"/>
      <c r="K112" s="65">
        <f>SUM(K105:K111)</f>
        <v>-28757</v>
      </c>
      <c r="L112" s="65"/>
      <c r="M112" s="65">
        <f>SUM(M89:M101)</f>
        <v>-6075</v>
      </c>
      <c r="N112" s="29"/>
      <c r="O112" s="6"/>
    </row>
    <row r="113" spans="1:15" ht="15.75">
      <c r="A113" s="28"/>
      <c r="B113" s="29" t="s">
        <v>83</v>
      </c>
      <c r="C113" s="29"/>
      <c r="D113" s="29"/>
      <c r="E113" s="29"/>
      <c r="F113" s="29"/>
      <c r="G113" s="29"/>
      <c r="H113" s="29"/>
      <c r="I113" s="29"/>
      <c r="J113" s="29"/>
      <c r="K113" s="65">
        <f>SUM(K103:K111)+SUM(K98:K99)</f>
        <v>18942</v>
      </c>
      <c r="L113" s="65"/>
      <c r="M113" s="65">
        <f>M88+M112</f>
        <v>0</v>
      </c>
      <c r="N113" s="29"/>
      <c r="O113" s="6"/>
    </row>
    <row r="114" spans="1:15" ht="15.75">
      <c r="A114" s="28"/>
      <c r="B114" s="29"/>
      <c r="C114" s="29"/>
      <c r="D114" s="29"/>
      <c r="E114" s="29"/>
      <c r="F114" s="29"/>
      <c r="G114" s="29"/>
      <c r="H114" s="29"/>
      <c r="I114" s="29"/>
      <c r="J114" s="29"/>
      <c r="K114" s="65"/>
      <c r="L114" s="65"/>
      <c r="M114" s="65"/>
      <c r="N114" s="29"/>
      <c r="O114" s="6"/>
    </row>
    <row r="115" spans="1:15" ht="15.75">
      <c r="A115" s="7"/>
      <c r="B115" s="14"/>
      <c r="C115" s="9"/>
      <c r="D115" s="9"/>
      <c r="E115" s="9"/>
      <c r="F115" s="9"/>
      <c r="G115" s="9"/>
      <c r="H115" s="9"/>
      <c r="I115" s="9"/>
      <c r="J115" s="9"/>
      <c r="K115" s="68"/>
      <c r="L115" s="68"/>
      <c r="M115" s="68"/>
      <c r="N115" s="9"/>
      <c r="O115" s="6"/>
    </row>
    <row r="116" spans="1:15" ht="16.5" thickBot="1">
      <c r="A116" s="134"/>
      <c r="B116" s="135" t="str">
        <f>B53</f>
        <v>PASF1 INVESTOR REPORT QUARTER ENDING APRIL 2004</v>
      </c>
      <c r="C116" s="136"/>
      <c r="D116" s="136"/>
      <c r="E116" s="136"/>
      <c r="F116" s="136"/>
      <c r="G116" s="136"/>
      <c r="H116" s="136"/>
      <c r="I116" s="136"/>
      <c r="J116" s="136"/>
      <c r="K116" s="139"/>
      <c r="L116" s="139"/>
      <c r="M116" s="139"/>
      <c r="N116" s="138"/>
      <c r="O116" s="6"/>
    </row>
    <row r="117" spans="1:15" ht="15.75">
      <c r="A117" s="2"/>
      <c r="B117" s="5"/>
      <c r="C117" s="5"/>
      <c r="D117" s="5"/>
      <c r="E117" s="5"/>
      <c r="F117" s="5"/>
      <c r="G117" s="5"/>
      <c r="H117" s="5"/>
      <c r="I117" s="5"/>
      <c r="J117" s="5"/>
      <c r="K117" s="76"/>
      <c r="L117" s="76"/>
      <c r="M117" s="76"/>
      <c r="N117" s="5"/>
      <c r="O117" s="6"/>
    </row>
    <row r="118" spans="1:15" ht="15.75">
      <c r="A118" s="7"/>
      <c r="B118" s="9"/>
      <c r="C118" s="9"/>
      <c r="D118" s="9"/>
      <c r="E118" s="9"/>
      <c r="F118" s="9"/>
      <c r="G118" s="9"/>
      <c r="H118" s="9"/>
      <c r="I118" s="9"/>
      <c r="J118" s="9"/>
      <c r="K118" s="9"/>
      <c r="L118" s="9"/>
      <c r="M118" s="64"/>
      <c r="N118" s="9"/>
      <c r="O118" s="6"/>
    </row>
    <row r="119" spans="1:15" ht="15.75">
      <c r="A119" s="77"/>
      <c r="B119" s="78"/>
      <c r="C119" s="78"/>
      <c r="D119" s="78"/>
      <c r="E119" s="78"/>
      <c r="F119" s="78"/>
      <c r="G119" s="78"/>
      <c r="H119" s="78"/>
      <c r="I119" s="78"/>
      <c r="J119" s="78"/>
      <c r="K119" s="78"/>
      <c r="L119" s="78"/>
      <c r="M119" s="79"/>
      <c r="N119" s="78"/>
      <c r="O119" s="6"/>
    </row>
    <row r="120" spans="1:15" ht="15.75">
      <c r="A120" s="77"/>
      <c r="B120" s="80" t="s">
        <v>84</v>
      </c>
      <c r="C120" s="78"/>
      <c r="D120" s="78"/>
      <c r="E120" s="78"/>
      <c r="F120" s="78"/>
      <c r="G120" s="78"/>
      <c r="H120" s="78"/>
      <c r="I120" s="78"/>
      <c r="J120" s="78"/>
      <c r="K120" s="78"/>
      <c r="L120" s="78"/>
      <c r="M120" s="79"/>
      <c r="N120" s="81"/>
      <c r="O120" s="6"/>
    </row>
    <row r="121" spans="1:15" ht="15.75">
      <c r="A121" s="77"/>
      <c r="B121" s="78"/>
      <c r="C121" s="78"/>
      <c r="D121" s="78"/>
      <c r="E121" s="78"/>
      <c r="F121" s="78"/>
      <c r="G121" s="78"/>
      <c r="H121" s="78"/>
      <c r="I121" s="78"/>
      <c r="J121" s="78"/>
      <c r="K121" s="78"/>
      <c r="L121" s="78"/>
      <c r="M121" s="79"/>
      <c r="N121" s="78"/>
      <c r="O121" s="6"/>
    </row>
    <row r="122" spans="1:15" ht="15.75">
      <c r="A122" s="7"/>
      <c r="B122" s="158" t="s">
        <v>85</v>
      </c>
      <c r="C122" s="15"/>
      <c r="D122" s="15"/>
      <c r="E122" s="9"/>
      <c r="F122" s="9"/>
      <c r="G122" s="9"/>
      <c r="H122" s="9"/>
      <c r="I122" s="9"/>
      <c r="J122" s="9"/>
      <c r="K122" s="9"/>
      <c r="L122" s="9"/>
      <c r="M122" s="64"/>
      <c r="N122" s="9"/>
      <c r="O122" s="6"/>
    </row>
    <row r="123" spans="1:15" ht="15.75">
      <c r="A123" s="28"/>
      <c r="B123" s="29" t="s">
        <v>86</v>
      </c>
      <c r="C123" s="29"/>
      <c r="D123" s="29"/>
      <c r="E123" s="29"/>
      <c r="F123" s="29"/>
      <c r="G123" s="29"/>
      <c r="H123" s="29"/>
      <c r="I123" s="29"/>
      <c r="J123" s="29"/>
      <c r="K123" s="29"/>
      <c r="L123" s="29"/>
      <c r="M123" s="66">
        <v>5852</v>
      </c>
      <c r="N123" s="29"/>
      <c r="O123" s="6"/>
    </row>
    <row r="124" spans="1:15" ht="15.75">
      <c r="A124" s="28"/>
      <c r="B124" s="29" t="s">
        <v>87</v>
      </c>
      <c r="C124" s="29"/>
      <c r="D124" s="29"/>
      <c r="E124" s="29"/>
      <c r="F124" s="29"/>
      <c r="G124" s="29"/>
      <c r="H124" s="29"/>
      <c r="I124" s="29"/>
      <c r="J124" s="29"/>
      <c r="K124" s="29"/>
      <c r="L124" s="29"/>
      <c r="M124" s="66">
        <v>0</v>
      </c>
      <c r="N124" s="29"/>
      <c r="O124" s="6"/>
    </row>
    <row r="125" spans="1:15" ht="15.75">
      <c r="A125" s="28"/>
      <c r="B125" s="29" t="s">
        <v>88</v>
      </c>
      <c r="C125" s="29"/>
      <c r="D125" s="29"/>
      <c r="E125" s="29"/>
      <c r="F125" s="29"/>
      <c r="G125" s="29"/>
      <c r="H125" s="29"/>
      <c r="I125" s="29"/>
      <c r="J125" s="29"/>
      <c r="K125" s="29"/>
      <c r="L125" s="29"/>
      <c r="M125" s="66">
        <v>0</v>
      </c>
      <c r="N125" s="29"/>
      <c r="O125" s="6"/>
    </row>
    <row r="126" spans="1:15" ht="15.75">
      <c r="A126" s="28"/>
      <c r="B126" s="29" t="s">
        <v>89</v>
      </c>
      <c r="C126" s="29"/>
      <c r="D126" s="29"/>
      <c r="E126" s="29"/>
      <c r="F126" s="29"/>
      <c r="G126" s="29"/>
      <c r="H126" s="29"/>
      <c r="I126" s="29"/>
      <c r="J126" s="29"/>
      <c r="K126" s="29"/>
      <c r="L126" s="29"/>
      <c r="M126" s="66">
        <v>0</v>
      </c>
      <c r="N126" s="29"/>
      <c r="O126" s="6"/>
    </row>
    <row r="127" spans="1:15" ht="15.75">
      <c r="A127" s="28"/>
      <c r="B127" s="29" t="s">
        <v>90</v>
      </c>
      <c r="C127" s="29"/>
      <c r="D127" s="29"/>
      <c r="E127" s="29"/>
      <c r="F127" s="29"/>
      <c r="G127" s="29"/>
      <c r="H127" s="29"/>
      <c r="I127" s="29"/>
      <c r="J127" s="29"/>
      <c r="K127" s="29"/>
      <c r="L127" s="29"/>
      <c r="M127" s="66">
        <v>0</v>
      </c>
      <c r="N127" s="29"/>
      <c r="O127" s="6"/>
    </row>
    <row r="128" spans="1:15" ht="15.75">
      <c r="A128" s="28"/>
      <c r="B128" s="29" t="s">
        <v>91</v>
      </c>
      <c r="C128" s="29"/>
      <c r="D128" s="29"/>
      <c r="E128" s="29"/>
      <c r="F128" s="29"/>
      <c r="G128" s="29"/>
      <c r="H128" s="29"/>
      <c r="I128" s="29"/>
      <c r="J128" s="29"/>
      <c r="K128" s="29"/>
      <c r="L128" s="29"/>
      <c r="M128" s="66">
        <v>0</v>
      </c>
      <c r="N128" s="29"/>
      <c r="O128" s="6"/>
    </row>
    <row r="129" spans="1:15" ht="15.75">
      <c r="A129" s="28"/>
      <c r="B129" s="29" t="s">
        <v>66</v>
      </c>
      <c r="C129" s="29"/>
      <c r="D129" s="29"/>
      <c r="E129" s="29"/>
      <c r="F129" s="29"/>
      <c r="G129" s="29"/>
      <c r="H129" s="29"/>
      <c r="I129" s="29"/>
      <c r="J129" s="29"/>
      <c r="K129" s="29"/>
      <c r="L129" s="29"/>
      <c r="M129" s="66">
        <v>0</v>
      </c>
      <c r="N129" s="29"/>
      <c r="O129" s="6"/>
    </row>
    <row r="130" spans="1:15" ht="15.75">
      <c r="A130" s="28"/>
      <c r="B130" s="29" t="s">
        <v>67</v>
      </c>
      <c r="C130" s="29"/>
      <c r="D130" s="29"/>
      <c r="E130" s="29"/>
      <c r="F130" s="29"/>
      <c r="G130" s="29"/>
      <c r="H130" s="29"/>
      <c r="I130" s="29"/>
      <c r="J130" s="29"/>
      <c r="K130" s="29"/>
      <c r="L130" s="29"/>
      <c r="M130" s="66">
        <v>0</v>
      </c>
      <c r="N130" s="29"/>
      <c r="O130" s="6"/>
    </row>
    <row r="131" spans="1:15" ht="15.75">
      <c r="A131" s="28"/>
      <c r="B131" s="29" t="s">
        <v>92</v>
      </c>
      <c r="C131" s="29"/>
      <c r="D131" s="29"/>
      <c r="E131" s="29"/>
      <c r="F131" s="29"/>
      <c r="G131" s="29"/>
      <c r="H131" s="29"/>
      <c r="I131" s="29"/>
      <c r="J131" s="29"/>
      <c r="K131" s="29"/>
      <c r="L131" s="29"/>
      <c r="M131" s="66">
        <f>M123+M126</f>
        <v>5852</v>
      </c>
      <c r="N131" s="29"/>
      <c r="O131" s="6"/>
    </row>
    <row r="132" spans="1:15" ht="15.75">
      <c r="A132" s="28"/>
      <c r="B132" s="29"/>
      <c r="C132" s="29"/>
      <c r="D132" s="29"/>
      <c r="E132" s="29"/>
      <c r="F132" s="29"/>
      <c r="G132" s="29"/>
      <c r="H132" s="29"/>
      <c r="I132" s="29"/>
      <c r="J132" s="29"/>
      <c r="K132" s="29"/>
      <c r="L132" s="29"/>
      <c r="M132" s="82"/>
      <c r="N132" s="29"/>
      <c r="O132" s="6"/>
    </row>
    <row r="133" spans="1:15" ht="15.75">
      <c r="A133" s="7"/>
      <c r="B133" s="158" t="s">
        <v>50</v>
      </c>
      <c r="C133" s="9"/>
      <c r="D133" s="9"/>
      <c r="E133" s="9"/>
      <c r="F133" s="9"/>
      <c r="G133" s="9"/>
      <c r="H133" s="9"/>
      <c r="I133" s="9"/>
      <c r="J133" s="9"/>
      <c r="K133" s="9"/>
      <c r="L133" s="9"/>
      <c r="M133" s="64"/>
      <c r="N133" s="9"/>
      <c r="O133" s="6"/>
    </row>
    <row r="134" spans="1:15" ht="15.75">
      <c r="A134" s="28"/>
      <c r="B134" s="29" t="s">
        <v>93</v>
      </c>
      <c r="C134" s="83"/>
      <c r="D134" s="83"/>
      <c r="E134" s="29"/>
      <c r="F134" s="29"/>
      <c r="G134" s="29"/>
      <c r="H134" s="29"/>
      <c r="I134" s="29"/>
      <c r="J134" s="29"/>
      <c r="K134" s="29"/>
      <c r="L134" s="29"/>
      <c r="M134" s="66">
        <v>2926</v>
      </c>
      <c r="N134" s="29"/>
      <c r="O134" s="6"/>
    </row>
    <row r="135" spans="1:15" ht="15.75">
      <c r="A135" s="28"/>
      <c r="B135" s="29" t="s">
        <v>94</v>
      </c>
      <c r="C135" s="29"/>
      <c r="D135" s="29"/>
      <c r="E135" s="29"/>
      <c r="F135" s="29"/>
      <c r="G135" s="29"/>
      <c r="H135" s="29"/>
      <c r="I135" s="29"/>
      <c r="J135" s="29"/>
      <c r="K135" s="29"/>
      <c r="L135" s="29"/>
      <c r="M135" s="66">
        <v>2926</v>
      </c>
      <c r="N135" s="29"/>
      <c r="O135" s="6"/>
    </row>
    <row r="136" spans="1:15" ht="15.75">
      <c r="A136" s="28"/>
      <c r="B136" s="29" t="s">
        <v>95</v>
      </c>
      <c r="C136" s="29"/>
      <c r="D136" s="29"/>
      <c r="E136" s="29"/>
      <c r="F136" s="29"/>
      <c r="G136" s="29"/>
      <c r="H136" s="29"/>
      <c r="I136" s="29"/>
      <c r="J136" s="29"/>
      <c r="K136" s="29"/>
      <c r="L136" s="29"/>
      <c r="M136" s="66">
        <f>-M99</f>
        <v>0</v>
      </c>
      <c r="N136" s="29"/>
      <c r="O136" s="6"/>
    </row>
    <row r="137" spans="1:15" ht="15.75">
      <c r="A137" s="28"/>
      <c r="B137" s="29" t="s">
        <v>96</v>
      </c>
      <c r="C137" s="29"/>
      <c r="D137" s="29"/>
      <c r="E137" s="29"/>
      <c r="F137" s="29"/>
      <c r="G137" s="29"/>
      <c r="H137" s="29"/>
      <c r="I137" s="29"/>
      <c r="J137" s="29"/>
      <c r="K137" s="29"/>
      <c r="L137" s="29"/>
      <c r="M137" s="66">
        <f>M134-M135-M136</f>
        <v>0</v>
      </c>
      <c r="N137" s="29"/>
      <c r="O137" s="6"/>
    </row>
    <row r="138" spans="1:15" ht="15.75">
      <c r="A138" s="28"/>
      <c r="B138" s="29"/>
      <c r="C138" s="29"/>
      <c r="D138" s="29"/>
      <c r="E138" s="29"/>
      <c r="F138" s="29"/>
      <c r="G138" s="29"/>
      <c r="H138" s="29"/>
      <c r="I138" s="29"/>
      <c r="J138" s="29"/>
      <c r="K138" s="29"/>
      <c r="L138" s="29"/>
      <c r="M138" s="84"/>
      <c r="N138" s="29"/>
      <c r="O138" s="6"/>
    </row>
    <row r="139" spans="1:15" ht="15.75">
      <c r="A139" s="7"/>
      <c r="B139" s="158" t="s">
        <v>97</v>
      </c>
      <c r="C139" s="15"/>
      <c r="D139" s="15"/>
      <c r="E139" s="9"/>
      <c r="F139" s="9"/>
      <c r="G139" s="17" t="s">
        <v>178</v>
      </c>
      <c r="H139" s="17"/>
      <c r="I139" s="17" t="s">
        <v>181</v>
      </c>
      <c r="J139" s="9"/>
      <c r="K139" s="9"/>
      <c r="L139" s="9"/>
      <c r="M139" s="85"/>
      <c r="N139" s="9"/>
      <c r="O139" s="6"/>
    </row>
    <row r="140" spans="1:15" ht="15.75">
      <c r="A140" s="7"/>
      <c r="B140" s="15"/>
      <c r="C140" s="15"/>
      <c r="D140" s="15"/>
      <c r="E140" s="9"/>
      <c r="F140" s="9"/>
      <c r="G140" s="9"/>
      <c r="H140" s="9"/>
      <c r="I140" s="9"/>
      <c r="J140" s="9"/>
      <c r="K140" s="9"/>
      <c r="L140" s="9"/>
      <c r="M140" s="85"/>
      <c r="N140" s="9"/>
      <c r="O140" s="6"/>
    </row>
    <row r="141" spans="1:15" ht="15.75">
      <c r="A141" s="28"/>
      <c r="B141" s="29" t="s">
        <v>98</v>
      </c>
      <c r="C141" s="29"/>
      <c r="D141" s="29"/>
      <c r="E141" s="29"/>
      <c r="F141" s="29"/>
      <c r="G141" s="29">
        <v>0</v>
      </c>
      <c r="H141" s="29"/>
      <c r="I141" s="29">
        <v>0</v>
      </c>
      <c r="J141" s="29"/>
      <c r="K141" s="29"/>
      <c r="L141" s="29"/>
      <c r="M141" s="66">
        <v>0</v>
      </c>
      <c r="N141" s="29"/>
      <c r="O141" s="6"/>
    </row>
    <row r="142" spans="1:15" ht="15.75">
      <c r="A142" s="28"/>
      <c r="B142" s="29" t="s">
        <v>99</v>
      </c>
      <c r="C142" s="29"/>
      <c r="D142" s="29"/>
      <c r="E142" s="29"/>
      <c r="F142" s="29"/>
      <c r="G142" s="29">
        <v>28</v>
      </c>
      <c r="H142" s="29"/>
      <c r="I142" s="29">
        <v>424</v>
      </c>
      <c r="J142" s="29"/>
      <c r="K142" s="29"/>
      <c r="L142" s="29"/>
      <c r="M142" s="66">
        <f>SUM(G142:I142)</f>
        <v>452</v>
      </c>
      <c r="N142" s="29"/>
      <c r="O142" s="6"/>
    </row>
    <row r="143" spans="1:15" ht="15.75">
      <c r="A143" s="28"/>
      <c r="B143" s="29" t="s">
        <v>100</v>
      </c>
      <c r="C143" s="29"/>
      <c r="D143" s="29"/>
      <c r="E143" s="29"/>
      <c r="F143" s="29"/>
      <c r="G143" s="29"/>
      <c r="H143" s="29"/>
      <c r="I143" s="86"/>
      <c r="J143" s="29"/>
      <c r="K143" s="29"/>
      <c r="L143" s="29"/>
      <c r="M143" s="66">
        <f>M98</f>
        <v>-452</v>
      </c>
      <c r="N143" s="29"/>
      <c r="O143" s="6"/>
    </row>
    <row r="144" spans="1:15" ht="15.75">
      <c r="A144" s="28"/>
      <c r="B144" s="29" t="s">
        <v>101</v>
      </c>
      <c r="C144" s="29"/>
      <c r="D144" s="29"/>
      <c r="E144" s="29"/>
      <c r="F144" s="29"/>
      <c r="G144" s="29"/>
      <c r="H144" s="29"/>
      <c r="I144" s="29"/>
      <c r="J144" s="29"/>
      <c r="K144" s="29"/>
      <c r="L144" s="29"/>
      <c r="M144" s="66">
        <f>M143+M142</f>
        <v>0</v>
      </c>
      <c r="N144" s="29"/>
      <c r="O144" s="6"/>
    </row>
    <row r="145" spans="1:15" ht="15.75">
      <c r="A145" s="28"/>
      <c r="B145" s="29"/>
      <c r="C145" s="29"/>
      <c r="D145" s="29"/>
      <c r="E145" s="29"/>
      <c r="F145" s="29"/>
      <c r="G145" s="29"/>
      <c r="H145" s="29"/>
      <c r="I145" s="29"/>
      <c r="J145" s="29"/>
      <c r="K145" s="29"/>
      <c r="L145" s="29"/>
      <c r="M145" s="82"/>
      <c r="N145" s="29"/>
      <c r="O145" s="6"/>
    </row>
    <row r="146" spans="1:15" ht="15.75">
      <c r="A146" s="7"/>
      <c r="B146" s="9"/>
      <c r="C146" s="9"/>
      <c r="D146" s="9"/>
      <c r="E146" s="9"/>
      <c r="F146" s="9"/>
      <c r="G146" s="9"/>
      <c r="H146" s="9"/>
      <c r="I146" s="9"/>
      <c r="J146" s="9"/>
      <c r="K146" s="9"/>
      <c r="L146" s="9"/>
      <c r="M146" s="64"/>
      <c r="N146" s="9"/>
      <c r="O146" s="6"/>
    </row>
    <row r="147" spans="1:15" ht="15.75">
      <c r="A147" s="7"/>
      <c r="B147" s="158" t="s">
        <v>102</v>
      </c>
      <c r="C147" s="15"/>
      <c r="D147" s="15"/>
      <c r="E147" s="9"/>
      <c r="F147" s="9"/>
      <c r="G147" s="9"/>
      <c r="H147" s="9"/>
      <c r="I147" s="9"/>
      <c r="J147" s="9"/>
      <c r="K147" s="9"/>
      <c r="L147" s="9"/>
      <c r="M147" s="64"/>
      <c r="N147" s="9"/>
      <c r="O147" s="6"/>
    </row>
    <row r="148" spans="1:18" ht="15.75">
      <c r="A148" s="28"/>
      <c r="B148" s="29" t="s">
        <v>103</v>
      </c>
      <c r="C148" s="87"/>
      <c r="D148" s="87"/>
      <c r="E148" s="29"/>
      <c r="F148" s="29"/>
      <c r="G148" s="29"/>
      <c r="H148" s="29"/>
      <c r="I148" s="29"/>
      <c r="J148" s="29"/>
      <c r="K148" s="29"/>
      <c r="L148" s="29"/>
      <c r="M148" s="66">
        <f>M68+M61</f>
        <v>167911</v>
      </c>
      <c r="N148" s="29"/>
      <c r="O148" s="6"/>
      <c r="R148" s="132"/>
    </row>
    <row r="149" spans="1:15" ht="15.75">
      <c r="A149" s="28"/>
      <c r="B149" s="29" t="s">
        <v>104</v>
      </c>
      <c r="C149" s="87"/>
      <c r="D149" s="87"/>
      <c r="E149" s="29"/>
      <c r="F149" s="29"/>
      <c r="G149" s="29"/>
      <c r="H149" s="29"/>
      <c r="I149" s="29"/>
      <c r="J149" s="29"/>
      <c r="K149" s="29"/>
      <c r="L149" s="29"/>
      <c r="M149" s="66">
        <f>M72</f>
        <v>18490</v>
      </c>
      <c r="N149" s="29"/>
      <c r="O149" s="6"/>
    </row>
    <row r="150" spans="1:15" ht="15.75">
      <c r="A150" s="28"/>
      <c r="B150" s="29" t="s">
        <v>50</v>
      </c>
      <c r="C150" s="87"/>
      <c r="D150" s="87"/>
      <c r="E150" s="29"/>
      <c r="F150" s="29"/>
      <c r="G150" s="29"/>
      <c r="H150" s="29"/>
      <c r="I150" s="29"/>
      <c r="J150" s="29"/>
      <c r="K150" s="29"/>
      <c r="L150" s="29"/>
      <c r="M150" s="66">
        <f>M71</f>
        <v>2926</v>
      </c>
      <c r="N150" s="29"/>
      <c r="O150" s="6"/>
    </row>
    <row r="151" spans="1:16" ht="15.75">
      <c r="A151" s="28"/>
      <c r="B151" s="29" t="s">
        <v>105</v>
      </c>
      <c r="C151" s="87"/>
      <c r="D151" s="87"/>
      <c r="E151" s="29"/>
      <c r="F151" s="29"/>
      <c r="G151" s="29"/>
      <c r="H151" s="29"/>
      <c r="I151" s="29"/>
      <c r="J151" s="29"/>
      <c r="K151" s="29"/>
      <c r="L151" s="29"/>
      <c r="M151" s="66">
        <f>M74</f>
        <v>-95</v>
      </c>
      <c r="N151" s="29"/>
      <c r="O151" s="6"/>
      <c r="P151" s="132"/>
    </row>
    <row r="152" spans="1:15" ht="15.75">
      <c r="A152" s="28"/>
      <c r="B152" s="29" t="s">
        <v>106</v>
      </c>
      <c r="C152" s="87"/>
      <c r="D152" s="87"/>
      <c r="E152" s="29"/>
      <c r="F152" s="29"/>
      <c r="G152" s="29"/>
      <c r="H152" s="29"/>
      <c r="I152" s="29"/>
      <c r="J152" s="29"/>
      <c r="K152" s="29"/>
      <c r="L152" s="29"/>
      <c r="M152" s="66">
        <f>M73</f>
        <v>8692</v>
      </c>
      <c r="N152" s="29"/>
      <c r="O152" s="6"/>
    </row>
    <row r="153" spans="1:15" ht="15.75">
      <c r="A153" s="28"/>
      <c r="B153" s="29" t="s">
        <v>107</v>
      </c>
      <c r="C153" s="87"/>
      <c r="D153" s="87"/>
      <c r="E153" s="29"/>
      <c r="F153" s="29"/>
      <c r="G153" s="29"/>
      <c r="H153" s="29"/>
      <c r="I153" s="29"/>
      <c r="J153" s="29"/>
      <c r="K153" s="29"/>
      <c r="L153" s="29"/>
      <c r="M153" s="66">
        <f>SUM(M148:M152)</f>
        <v>197924</v>
      </c>
      <c r="N153" s="29"/>
      <c r="O153" s="133"/>
    </row>
    <row r="154" spans="1:19" ht="15.75">
      <c r="A154" s="28"/>
      <c r="B154" s="29" t="s">
        <v>108</v>
      </c>
      <c r="C154" s="87"/>
      <c r="D154" s="87"/>
      <c r="E154" s="29"/>
      <c r="F154" s="29"/>
      <c r="G154" s="29"/>
      <c r="H154" s="29"/>
      <c r="I154" s="29"/>
      <c r="J154" s="29"/>
      <c r="K154" s="29"/>
      <c r="L154" s="29"/>
      <c r="M154" s="66">
        <f>M30</f>
        <v>194998</v>
      </c>
      <c r="N154" s="29"/>
      <c r="O154" s="6"/>
      <c r="P154" s="132"/>
      <c r="R154" s="132"/>
      <c r="S154" s="132"/>
    </row>
    <row r="155" spans="1:15" ht="15.75">
      <c r="A155" s="28"/>
      <c r="B155" s="29"/>
      <c r="C155" s="29"/>
      <c r="D155" s="29"/>
      <c r="E155" s="29"/>
      <c r="F155" s="29"/>
      <c r="G155" s="29"/>
      <c r="H155" s="29"/>
      <c r="I155" s="29"/>
      <c r="J155" s="29"/>
      <c r="K155" s="29"/>
      <c r="L155" s="29"/>
      <c r="M155" s="82"/>
      <c r="N155" s="29"/>
      <c r="O155" s="6"/>
    </row>
    <row r="156" spans="1:15" ht="15.75">
      <c r="A156" s="7"/>
      <c r="B156" s="9"/>
      <c r="C156" s="9"/>
      <c r="D156" s="9"/>
      <c r="E156" s="9"/>
      <c r="F156" s="9"/>
      <c r="G156" s="9"/>
      <c r="H156" s="9"/>
      <c r="I156" s="25"/>
      <c r="J156" s="9"/>
      <c r="K156" s="25"/>
      <c r="L156" s="9"/>
      <c r="M156" s="64"/>
      <c r="N156" s="9"/>
      <c r="O156" s="6"/>
    </row>
    <row r="157" spans="1:15" ht="15.75">
      <c r="A157" s="7"/>
      <c r="B157" s="158" t="s">
        <v>109</v>
      </c>
      <c r="C157" s="144"/>
      <c r="D157" s="144"/>
      <c r="E157" s="144"/>
      <c r="F157" s="144"/>
      <c r="G157" s="144"/>
      <c r="H157" s="144"/>
      <c r="I157" s="159" t="s">
        <v>205</v>
      </c>
      <c r="J157" s="159"/>
      <c r="K157" s="159" t="s">
        <v>210</v>
      </c>
      <c r="L157" s="144"/>
      <c r="M157" s="160" t="s">
        <v>192</v>
      </c>
      <c r="N157" s="161"/>
      <c r="O157" s="6"/>
    </row>
    <row r="158" spans="1:15" ht="15.75">
      <c r="A158" s="28"/>
      <c r="B158" s="29" t="s">
        <v>110</v>
      </c>
      <c r="C158" s="29"/>
      <c r="D158" s="29"/>
      <c r="E158" s="29"/>
      <c r="F158" s="29"/>
      <c r="G158" s="29"/>
      <c r="H158" s="29"/>
      <c r="I158" s="66"/>
      <c r="J158" s="29"/>
      <c r="K158" s="53"/>
      <c r="L158" s="29"/>
      <c r="M158" s="66"/>
      <c r="N158" s="29"/>
      <c r="O158" s="6"/>
    </row>
    <row r="159" spans="1:15" ht="15.75">
      <c r="A159" s="28"/>
      <c r="B159" s="29" t="s">
        <v>111</v>
      </c>
      <c r="C159" s="29"/>
      <c r="D159" s="29"/>
      <c r="E159" s="29"/>
      <c r="F159" s="29"/>
      <c r="G159" s="29"/>
      <c r="H159" s="29"/>
      <c r="I159" s="66">
        <f>+'Jan 2004'!I161</f>
        <v>256</v>
      </c>
      <c r="J159" s="29"/>
      <c r="K159" s="29"/>
      <c r="L159" s="29"/>
      <c r="M159" s="66" t="s">
        <v>224</v>
      </c>
      <c r="N159" s="29"/>
      <c r="O159" s="6"/>
    </row>
    <row r="160" spans="1:15" ht="15.75">
      <c r="A160" s="28"/>
      <c r="B160" s="29" t="s">
        <v>112</v>
      </c>
      <c r="C160" s="29"/>
      <c r="D160" s="29"/>
      <c r="E160" s="29"/>
      <c r="F160" s="29"/>
      <c r="G160" s="29"/>
      <c r="H160" s="29"/>
      <c r="I160" s="66">
        <v>162</v>
      </c>
      <c r="J160" s="29"/>
      <c r="K160" s="29"/>
      <c r="L160" s="29"/>
      <c r="M160" s="66" t="s">
        <v>224</v>
      </c>
      <c r="N160" s="29"/>
      <c r="O160" s="6"/>
    </row>
    <row r="161" spans="1:15" ht="15.75">
      <c r="A161" s="28"/>
      <c r="B161" s="29" t="s">
        <v>113</v>
      </c>
      <c r="C161" s="29"/>
      <c r="D161" s="29"/>
      <c r="E161" s="29"/>
      <c r="F161" s="29"/>
      <c r="G161" s="29"/>
      <c r="H161" s="29"/>
      <c r="I161" s="66">
        <f>SUM(I159:I160)</f>
        <v>418</v>
      </c>
      <c r="J161" s="29"/>
      <c r="K161" s="66"/>
      <c r="L161" s="29"/>
      <c r="M161" s="66" t="s">
        <v>224</v>
      </c>
      <c r="N161" s="29"/>
      <c r="O161" s="6"/>
    </row>
    <row r="162" spans="1:15" ht="15.75">
      <c r="A162" s="28"/>
      <c r="B162" s="29" t="s">
        <v>114</v>
      </c>
      <c r="C162" s="29"/>
      <c r="D162" s="29"/>
      <c r="E162" s="29"/>
      <c r="F162" s="29"/>
      <c r="G162" s="29"/>
      <c r="H162" s="29"/>
      <c r="I162" s="66"/>
      <c r="J162" s="29"/>
      <c r="K162" s="53"/>
      <c r="L162" s="29"/>
      <c r="M162" s="66"/>
      <c r="N162" s="29"/>
      <c r="O162" s="6"/>
    </row>
    <row r="163" spans="1:15" ht="15.75">
      <c r="A163" s="28"/>
      <c r="B163" s="29"/>
      <c r="C163" s="29"/>
      <c r="D163" s="29"/>
      <c r="E163" s="29"/>
      <c r="F163" s="29"/>
      <c r="G163" s="29"/>
      <c r="H163" s="29"/>
      <c r="I163" s="29"/>
      <c r="J163" s="29"/>
      <c r="K163" s="29"/>
      <c r="L163" s="29"/>
      <c r="M163" s="82"/>
      <c r="N163" s="29"/>
      <c r="O163" s="6"/>
    </row>
    <row r="164" spans="1:15" ht="15.75">
      <c r="A164" s="7"/>
      <c r="B164" s="9"/>
      <c r="C164" s="9"/>
      <c r="D164" s="9"/>
      <c r="E164" s="9"/>
      <c r="F164" s="9"/>
      <c r="G164" s="9"/>
      <c r="H164" s="9"/>
      <c r="I164" s="9"/>
      <c r="J164" s="9"/>
      <c r="K164" s="9"/>
      <c r="L164" s="9"/>
      <c r="M164" s="64"/>
      <c r="N164" s="9"/>
      <c r="O164" s="6"/>
    </row>
    <row r="165" spans="1:15" ht="15.75">
      <c r="A165" s="7"/>
      <c r="B165" s="158" t="s">
        <v>115</v>
      </c>
      <c r="C165" s="15"/>
      <c r="D165" s="15"/>
      <c r="E165" s="9"/>
      <c r="F165" s="9"/>
      <c r="G165" s="9"/>
      <c r="H165" s="9"/>
      <c r="I165" s="9"/>
      <c r="J165" s="9"/>
      <c r="K165" s="9"/>
      <c r="L165" s="9"/>
      <c r="M165" s="88"/>
      <c r="N165" s="9"/>
      <c r="O165" s="6"/>
    </row>
    <row r="166" spans="1:15" ht="15.75">
      <c r="A166" s="28"/>
      <c r="B166" s="29" t="s">
        <v>116</v>
      </c>
      <c r="C166" s="29"/>
      <c r="D166" s="29"/>
      <c r="E166" s="29"/>
      <c r="F166" s="29"/>
      <c r="G166" s="29"/>
      <c r="H166" s="29"/>
      <c r="I166" s="29"/>
      <c r="J166" s="29"/>
      <c r="K166" s="29"/>
      <c r="L166" s="29"/>
      <c r="M166" s="73">
        <f>(M88+M90+M91+M93)/-M92</f>
        <v>3.035152151101784</v>
      </c>
      <c r="N166" s="29" t="s">
        <v>225</v>
      </c>
      <c r="O166" s="6"/>
    </row>
    <row r="167" spans="1:15" ht="15.75">
      <c r="A167" s="28"/>
      <c r="B167" s="29" t="s">
        <v>117</v>
      </c>
      <c r="C167" s="29"/>
      <c r="D167" s="29"/>
      <c r="E167" s="29"/>
      <c r="F167" s="29"/>
      <c r="G167" s="29"/>
      <c r="H167" s="29"/>
      <c r="I167" s="29"/>
      <c r="J167" s="29"/>
      <c r="K167" s="29"/>
      <c r="L167" s="29"/>
      <c r="M167" s="89">
        <v>3.03</v>
      </c>
      <c r="N167" s="29" t="s">
        <v>225</v>
      </c>
      <c r="O167" s="6"/>
    </row>
    <row r="168" spans="1:15" ht="15.75">
      <c r="A168" s="28"/>
      <c r="B168" s="29" t="s">
        <v>118</v>
      </c>
      <c r="C168" s="29"/>
      <c r="D168" s="29"/>
      <c r="E168" s="29"/>
      <c r="F168" s="29"/>
      <c r="G168" s="29"/>
      <c r="H168" s="29"/>
      <c r="I168" s="29"/>
      <c r="J168" s="29"/>
      <c r="K168" s="29"/>
      <c r="L168" s="29"/>
      <c r="M168" s="73">
        <f>(M88+M90+M91+M92+M93+M94)/-M95</f>
        <v>18.99019607843137</v>
      </c>
      <c r="N168" s="29" t="s">
        <v>225</v>
      </c>
      <c r="O168" s="6"/>
    </row>
    <row r="169" spans="1:15" ht="15.75">
      <c r="A169" s="28"/>
      <c r="B169" s="29" t="s">
        <v>119</v>
      </c>
      <c r="C169" s="29"/>
      <c r="D169" s="29"/>
      <c r="E169" s="29"/>
      <c r="F169" s="29"/>
      <c r="G169" s="29"/>
      <c r="H169" s="29"/>
      <c r="I169" s="29"/>
      <c r="J169" s="29"/>
      <c r="K169" s="29"/>
      <c r="L169" s="29"/>
      <c r="M169" s="90">
        <v>18.92</v>
      </c>
      <c r="N169" s="29" t="s">
        <v>225</v>
      </c>
      <c r="O169" s="6"/>
    </row>
    <row r="170" spans="1:15" ht="15.75">
      <c r="A170" s="28"/>
      <c r="B170" s="29" t="s">
        <v>120</v>
      </c>
      <c r="C170" s="29"/>
      <c r="D170" s="29"/>
      <c r="E170" s="29"/>
      <c r="F170" s="29"/>
      <c r="G170" s="29"/>
      <c r="H170" s="29"/>
      <c r="I170" s="29"/>
      <c r="J170" s="29"/>
      <c r="K170" s="29"/>
      <c r="L170" s="29"/>
      <c r="M170" s="73">
        <f>(M88+M90+M91+M92+M93+M94+M95)/-M96</f>
        <v>25.48611111111111</v>
      </c>
      <c r="N170" s="29" t="s">
        <v>225</v>
      </c>
      <c r="O170" s="6"/>
    </row>
    <row r="171" spans="1:15" ht="15.75">
      <c r="A171" s="28"/>
      <c r="B171" s="29" t="s">
        <v>121</v>
      </c>
      <c r="C171" s="29"/>
      <c r="D171" s="29"/>
      <c r="E171" s="29"/>
      <c r="F171" s="29"/>
      <c r="G171" s="29"/>
      <c r="H171" s="29"/>
      <c r="I171" s="29"/>
      <c r="J171" s="29"/>
      <c r="K171" s="29"/>
      <c r="L171" s="29"/>
      <c r="M171" s="89">
        <v>25.54</v>
      </c>
      <c r="N171" s="29" t="s">
        <v>225</v>
      </c>
      <c r="O171" s="6"/>
    </row>
    <row r="172" spans="1:15" ht="15.75">
      <c r="A172" s="28"/>
      <c r="B172" s="29"/>
      <c r="C172" s="29"/>
      <c r="D172" s="29"/>
      <c r="E172" s="29"/>
      <c r="F172" s="29"/>
      <c r="G172" s="29"/>
      <c r="H172" s="29"/>
      <c r="I172" s="29"/>
      <c r="J172" s="29"/>
      <c r="K172" s="29"/>
      <c r="L172" s="29"/>
      <c r="M172" s="29"/>
      <c r="N172" s="29"/>
      <c r="O172" s="6"/>
    </row>
    <row r="173" spans="1:15" ht="15.75">
      <c r="A173" s="7"/>
      <c r="B173" s="9"/>
      <c r="C173" s="9"/>
      <c r="D173" s="9"/>
      <c r="E173" s="9"/>
      <c r="F173" s="9"/>
      <c r="G173" s="9"/>
      <c r="H173" s="9"/>
      <c r="I173" s="9"/>
      <c r="J173" s="9"/>
      <c r="K173" s="9"/>
      <c r="L173" s="9"/>
      <c r="M173" s="9"/>
      <c r="N173" s="9"/>
      <c r="O173" s="6"/>
    </row>
    <row r="174" spans="1:15" ht="16.5" thickBot="1">
      <c r="A174" s="134"/>
      <c r="B174" s="135" t="str">
        <f>B116</f>
        <v>PASF1 INVESTOR REPORT QUARTER ENDING APRIL 2004</v>
      </c>
      <c r="C174" s="136"/>
      <c r="D174" s="136"/>
      <c r="E174" s="136"/>
      <c r="F174" s="136"/>
      <c r="G174" s="136"/>
      <c r="H174" s="136"/>
      <c r="I174" s="136"/>
      <c r="J174" s="136"/>
      <c r="K174" s="136"/>
      <c r="L174" s="136"/>
      <c r="M174" s="136"/>
      <c r="N174" s="138"/>
      <c r="O174" s="6"/>
    </row>
    <row r="175" spans="1:15" ht="15.75">
      <c r="A175" s="2"/>
      <c r="B175" s="91"/>
      <c r="C175" s="91"/>
      <c r="D175" s="91"/>
      <c r="E175" s="91"/>
      <c r="F175" s="91"/>
      <c r="G175" s="91"/>
      <c r="H175" s="91"/>
      <c r="I175" s="91"/>
      <c r="J175" s="91"/>
      <c r="K175" s="91"/>
      <c r="L175" s="91"/>
      <c r="M175" s="91"/>
      <c r="N175" s="91"/>
      <c r="O175" s="6"/>
    </row>
    <row r="176" spans="1:15" ht="15.75">
      <c r="A176" s="92"/>
      <c r="B176" s="63" t="s">
        <v>122</v>
      </c>
      <c r="C176" s="93"/>
      <c r="D176" s="93"/>
      <c r="E176" s="93" t="s">
        <v>178</v>
      </c>
      <c r="F176" s="93"/>
      <c r="G176" s="94" t="s">
        <v>181</v>
      </c>
      <c r="H176" s="94"/>
      <c r="I176" s="94"/>
      <c r="J176" s="22"/>
      <c r="K176" s="22">
        <v>38107</v>
      </c>
      <c r="L176" s="18"/>
      <c r="M176" s="18"/>
      <c r="N176" s="9"/>
      <c r="O176" s="6"/>
    </row>
    <row r="177" spans="1:15" ht="15.75">
      <c r="A177" s="95"/>
      <c r="B177" s="74" t="s">
        <v>123</v>
      </c>
      <c r="C177" s="96"/>
      <c r="D177" s="96"/>
      <c r="E177" s="97">
        <v>0.12505</v>
      </c>
      <c r="F177" s="96"/>
      <c r="G177" s="97">
        <v>0.13752</v>
      </c>
      <c r="H177" s="86"/>
      <c r="I177" s="86"/>
      <c r="J177" s="86"/>
      <c r="K177" s="97">
        <v>0.13157</v>
      </c>
      <c r="L177" s="29"/>
      <c r="M177" s="29"/>
      <c r="N177" s="29"/>
      <c r="O177" s="6"/>
    </row>
    <row r="178" spans="1:15" ht="15.75">
      <c r="A178" s="95"/>
      <c r="B178" s="74" t="s">
        <v>124</v>
      </c>
      <c r="C178" s="96"/>
      <c r="D178" s="96"/>
      <c r="E178" s="97"/>
      <c r="F178" s="96"/>
      <c r="G178" s="97"/>
      <c r="H178" s="86"/>
      <c r="I178" s="86"/>
      <c r="J178" s="86"/>
      <c r="K178" s="97">
        <v>0.0654</v>
      </c>
      <c r="L178" s="97"/>
      <c r="M178" s="29"/>
      <c r="N178" s="29"/>
      <c r="O178" s="6"/>
    </row>
    <row r="179" spans="1:15" ht="15.75">
      <c r="A179" s="95"/>
      <c r="B179" s="74" t="s">
        <v>125</v>
      </c>
      <c r="C179" s="96"/>
      <c r="D179" s="96"/>
      <c r="E179" s="96"/>
      <c r="F179" s="96"/>
      <c r="G179" s="96"/>
      <c r="H179" s="86"/>
      <c r="I179" s="86"/>
      <c r="J179" s="86"/>
      <c r="K179" s="97">
        <f>K177-K178</f>
        <v>0.06616999999999999</v>
      </c>
      <c r="L179" s="29"/>
      <c r="M179" s="29"/>
      <c r="N179" s="29"/>
      <c r="O179" s="6"/>
    </row>
    <row r="180" spans="1:15" ht="15.75">
      <c r="A180" s="95"/>
      <c r="B180" s="74" t="s">
        <v>126</v>
      </c>
      <c r="C180" s="96"/>
      <c r="D180" s="96"/>
      <c r="E180" s="98">
        <v>0.097</v>
      </c>
      <c r="F180" s="98"/>
      <c r="G180" s="98">
        <v>0.1044</v>
      </c>
      <c r="H180" s="86"/>
      <c r="I180" s="86"/>
      <c r="J180" s="86"/>
      <c r="K180" s="97">
        <v>0.0997</v>
      </c>
      <c r="L180" s="29"/>
      <c r="M180" s="29"/>
      <c r="N180" s="29"/>
      <c r="O180" s="6"/>
    </row>
    <row r="181" spans="1:15" ht="15.75">
      <c r="A181" s="95"/>
      <c r="B181" s="74" t="s">
        <v>127</v>
      </c>
      <c r="C181" s="96"/>
      <c r="D181" s="96"/>
      <c r="E181" s="96"/>
      <c r="F181" s="96"/>
      <c r="G181" s="96"/>
      <c r="H181" s="86"/>
      <c r="I181" s="86"/>
      <c r="J181" s="86"/>
      <c r="K181" s="97">
        <f>M32</f>
        <v>0.04639886998841014</v>
      </c>
      <c r="L181" s="29"/>
      <c r="M181" s="29"/>
      <c r="N181" s="29"/>
      <c r="O181" s="6"/>
    </row>
    <row r="182" spans="1:15" ht="15.75">
      <c r="A182" s="95"/>
      <c r="B182" s="74" t="s">
        <v>128</v>
      </c>
      <c r="C182" s="96"/>
      <c r="D182" s="96"/>
      <c r="E182" s="96"/>
      <c r="F182" s="96"/>
      <c r="G182" s="96"/>
      <c r="H182" s="86"/>
      <c r="I182" s="86"/>
      <c r="J182" s="86"/>
      <c r="K182" s="97">
        <f>K180-K181</f>
        <v>0.053301130011589856</v>
      </c>
      <c r="L182" s="29"/>
      <c r="M182" s="29"/>
      <c r="N182" s="29"/>
      <c r="O182" s="6"/>
    </row>
    <row r="183" spans="1:15" ht="15.75">
      <c r="A183" s="95"/>
      <c r="B183" s="74" t="s">
        <v>129</v>
      </c>
      <c r="C183" s="96"/>
      <c r="D183" s="96"/>
      <c r="E183" s="96"/>
      <c r="F183" s="96"/>
      <c r="G183" s="96"/>
      <c r="H183" s="86"/>
      <c r="I183" s="86"/>
      <c r="J183" s="86"/>
      <c r="K183" s="97" t="s">
        <v>211</v>
      </c>
      <c r="L183" s="29"/>
      <c r="M183" s="29"/>
      <c r="N183" s="29"/>
      <c r="O183" s="6"/>
    </row>
    <row r="184" spans="1:15" ht="15.75">
      <c r="A184" s="95"/>
      <c r="B184" s="74" t="s">
        <v>130</v>
      </c>
      <c r="C184" s="96"/>
      <c r="D184" s="96"/>
      <c r="E184" s="96"/>
      <c r="F184" s="96"/>
      <c r="G184" s="96"/>
      <c r="H184" s="86"/>
      <c r="I184" s="86"/>
      <c r="J184" s="86"/>
      <c r="K184" s="97" t="s">
        <v>212</v>
      </c>
      <c r="L184" s="29"/>
      <c r="M184" s="29"/>
      <c r="N184" s="29"/>
      <c r="O184" s="6"/>
    </row>
    <row r="185" spans="1:15" ht="15.75">
      <c r="A185" s="95"/>
      <c r="B185" s="74" t="s">
        <v>131</v>
      </c>
      <c r="C185" s="96"/>
      <c r="D185" s="96"/>
      <c r="E185" s="99">
        <v>9.94</v>
      </c>
      <c r="F185" s="96"/>
      <c r="G185" s="99">
        <v>3.91</v>
      </c>
      <c r="H185" s="86"/>
      <c r="I185" s="86"/>
      <c r="J185" s="86"/>
      <c r="K185" s="100">
        <v>6.791</v>
      </c>
      <c r="L185" s="29"/>
      <c r="M185" s="29"/>
      <c r="N185" s="29"/>
      <c r="O185" s="6"/>
    </row>
    <row r="186" spans="1:15" ht="15.75">
      <c r="A186" s="95"/>
      <c r="B186" s="74" t="s">
        <v>132</v>
      </c>
      <c r="C186" s="96"/>
      <c r="D186" s="96"/>
      <c r="E186" s="101">
        <v>14.08</v>
      </c>
      <c r="F186" s="99"/>
      <c r="G186" s="99">
        <v>2.57</v>
      </c>
      <c r="H186" s="86"/>
      <c r="I186" s="86"/>
      <c r="J186" s="86"/>
      <c r="K186" s="100">
        <v>9.85</v>
      </c>
      <c r="L186" s="29"/>
      <c r="M186" s="29"/>
      <c r="N186" s="29"/>
      <c r="O186" s="6"/>
    </row>
    <row r="187" spans="1:15" ht="15.75">
      <c r="A187" s="95"/>
      <c r="B187" s="74" t="s">
        <v>231</v>
      </c>
      <c r="C187" s="96"/>
      <c r="D187" s="96"/>
      <c r="E187" s="101"/>
      <c r="F187" s="99"/>
      <c r="G187" s="99"/>
      <c r="H187" s="86"/>
      <c r="I187" s="86"/>
      <c r="J187" s="86"/>
      <c r="K187" s="97">
        <v>0.0373</v>
      </c>
      <c r="L187" s="29"/>
      <c r="M187" s="29"/>
      <c r="N187" s="29"/>
      <c r="O187" s="6"/>
    </row>
    <row r="188" spans="1:15" ht="15.75">
      <c r="A188" s="95"/>
      <c r="B188" s="74" t="s">
        <v>232</v>
      </c>
      <c r="C188" s="96"/>
      <c r="D188" s="96"/>
      <c r="E188" s="101"/>
      <c r="F188" s="99"/>
      <c r="G188" s="99"/>
      <c r="H188" s="86"/>
      <c r="I188" s="86"/>
      <c r="J188" s="86"/>
      <c r="K188" s="97">
        <v>0.1773</v>
      </c>
      <c r="L188" s="29"/>
      <c r="M188" s="29"/>
      <c r="N188" s="29"/>
      <c r="O188" s="6"/>
    </row>
    <row r="189" spans="1:15" ht="15.75">
      <c r="A189" s="95"/>
      <c r="B189" s="74" t="s">
        <v>233</v>
      </c>
      <c r="C189" s="96"/>
      <c r="D189" s="96"/>
      <c r="E189" s="101"/>
      <c r="F189" s="99"/>
      <c r="G189" s="99"/>
      <c r="H189" s="86"/>
      <c r="I189" s="86"/>
      <c r="J189" s="86"/>
      <c r="K189" s="97">
        <v>0.1097</v>
      </c>
      <c r="L189" s="29"/>
      <c r="M189" s="29"/>
      <c r="N189" s="29"/>
      <c r="O189" s="6"/>
    </row>
    <row r="190" spans="1:15" ht="15.75">
      <c r="A190" s="95"/>
      <c r="B190" s="74" t="s">
        <v>234</v>
      </c>
      <c r="C190" s="96"/>
      <c r="D190" s="96"/>
      <c r="E190" s="101"/>
      <c r="F190" s="99"/>
      <c r="G190" s="99"/>
      <c r="H190" s="86"/>
      <c r="I190" s="86"/>
      <c r="J190" s="86"/>
      <c r="K190" s="97">
        <v>0.3385</v>
      </c>
      <c r="L190" s="29"/>
      <c r="M190" s="29"/>
      <c r="N190" s="29"/>
      <c r="O190" s="6"/>
    </row>
    <row r="191" spans="1:15" ht="15.75">
      <c r="A191" s="95"/>
      <c r="B191" s="74"/>
      <c r="C191" s="74"/>
      <c r="D191" s="74"/>
      <c r="E191" s="74"/>
      <c r="F191" s="74"/>
      <c r="G191" s="74"/>
      <c r="H191" s="29"/>
      <c r="I191" s="29"/>
      <c r="J191" s="37"/>
      <c r="K191" s="102"/>
      <c r="L191" s="29"/>
      <c r="M191" s="103"/>
      <c r="N191" s="29"/>
      <c r="O191" s="6"/>
    </row>
    <row r="192" spans="1:15" ht="15.75">
      <c r="A192" s="104"/>
      <c r="B192" s="17" t="s">
        <v>134</v>
      </c>
      <c r="C192" s="20"/>
      <c r="D192" s="20"/>
      <c r="E192" s="105"/>
      <c r="F192" s="20"/>
      <c r="G192" s="105"/>
      <c r="H192" s="20"/>
      <c r="I192" s="105"/>
      <c r="J192" s="20" t="s">
        <v>206</v>
      </c>
      <c r="K192" s="105" t="s">
        <v>213</v>
      </c>
      <c r="L192" s="18"/>
      <c r="M192" s="18"/>
      <c r="N192" s="9"/>
      <c r="O192" s="6"/>
    </row>
    <row r="193" spans="1:15" ht="15.75">
      <c r="A193" s="106"/>
      <c r="B193" s="74" t="s">
        <v>135</v>
      </c>
      <c r="C193" s="67"/>
      <c r="D193" s="67"/>
      <c r="E193" s="67"/>
      <c r="F193" s="67"/>
      <c r="G193" s="29"/>
      <c r="H193" s="29"/>
      <c r="I193" s="29"/>
      <c r="J193" s="29">
        <v>102</v>
      </c>
      <c r="K193" s="66">
        <v>708</v>
      </c>
      <c r="L193" s="66"/>
      <c r="M193" s="103"/>
      <c r="N193" s="107"/>
      <c r="O193" s="6"/>
    </row>
    <row r="194" spans="1:15" ht="15.75">
      <c r="A194" s="106"/>
      <c r="B194" s="74" t="s">
        <v>136</v>
      </c>
      <c r="C194" s="67"/>
      <c r="D194" s="67"/>
      <c r="E194" s="67"/>
      <c r="F194" s="67"/>
      <c r="G194" s="29"/>
      <c r="H194" s="29"/>
      <c r="I194" s="29"/>
      <c r="J194" s="29">
        <v>9</v>
      </c>
      <c r="K194" s="66">
        <v>42</v>
      </c>
      <c r="L194" s="66"/>
      <c r="M194" s="103"/>
      <c r="N194" s="107"/>
      <c r="O194" s="6"/>
    </row>
    <row r="195" spans="1:15" ht="15.75">
      <c r="A195" s="106"/>
      <c r="B195" s="74"/>
      <c r="C195" s="67"/>
      <c r="D195" s="67"/>
      <c r="E195" s="67"/>
      <c r="F195" s="67"/>
      <c r="G195" s="29"/>
      <c r="H195" s="29"/>
      <c r="I195" s="29"/>
      <c r="J195" s="29"/>
      <c r="K195" s="66"/>
      <c r="L195" s="66"/>
      <c r="M195" s="103"/>
      <c r="N195" s="107"/>
      <c r="O195" s="6"/>
    </row>
    <row r="196" spans="1:15" ht="15.75">
      <c r="A196" s="106"/>
      <c r="B196" s="74" t="s">
        <v>137</v>
      </c>
      <c r="C196" s="67"/>
      <c r="D196" s="67"/>
      <c r="E196" s="67"/>
      <c r="F196" s="67"/>
      <c r="G196" s="29"/>
      <c r="H196" s="29"/>
      <c r="I196" s="29"/>
      <c r="J196" s="29">
        <v>84</v>
      </c>
      <c r="K196" s="66">
        <v>1701</v>
      </c>
      <c r="L196" s="66"/>
      <c r="M196" s="103"/>
      <c r="N196" s="107"/>
      <c r="O196" s="6"/>
    </row>
    <row r="197" spans="1:15" ht="15.75">
      <c r="A197" s="106"/>
      <c r="B197" s="74" t="s">
        <v>138</v>
      </c>
      <c r="C197" s="67"/>
      <c r="D197" s="67"/>
      <c r="E197" s="67"/>
      <c r="F197" s="67"/>
      <c r="G197" s="29"/>
      <c r="H197" s="29"/>
      <c r="I197" s="29"/>
      <c r="J197" s="29">
        <v>9</v>
      </c>
      <c r="K197" s="66">
        <v>221</v>
      </c>
      <c r="L197" s="66"/>
      <c r="M197" s="103"/>
      <c r="N197" s="107"/>
      <c r="O197" s="6"/>
    </row>
    <row r="198" spans="1:15" ht="15.75">
      <c r="A198" s="106"/>
      <c r="B198" s="74"/>
      <c r="C198" s="67"/>
      <c r="D198" s="67"/>
      <c r="E198" s="67"/>
      <c r="F198" s="67"/>
      <c r="G198" s="29"/>
      <c r="H198" s="29"/>
      <c r="I198" s="29"/>
      <c r="J198" s="29"/>
      <c r="K198" s="66"/>
      <c r="L198" s="66"/>
      <c r="M198" s="103"/>
      <c r="N198" s="107"/>
      <c r="O198" s="6"/>
    </row>
    <row r="199" spans="1:15" ht="15.75">
      <c r="A199" s="106"/>
      <c r="B199" s="162" t="s">
        <v>139</v>
      </c>
      <c r="C199" s="67"/>
      <c r="D199" s="67"/>
      <c r="E199" s="67"/>
      <c r="F199" s="67"/>
      <c r="G199" s="29"/>
      <c r="H199" s="29"/>
      <c r="I199" s="29"/>
      <c r="J199" s="29"/>
      <c r="K199" s="73" t="s">
        <v>214</v>
      </c>
      <c r="L199" s="29"/>
      <c r="M199" s="103"/>
      <c r="N199" s="107"/>
      <c r="O199" s="6"/>
    </row>
    <row r="200" spans="1:15" ht="15.75">
      <c r="A200" s="106"/>
      <c r="B200" s="162" t="s">
        <v>140</v>
      </c>
      <c r="C200" s="67"/>
      <c r="D200" s="67"/>
      <c r="E200" s="67"/>
      <c r="F200" s="67"/>
      <c r="G200" s="29"/>
      <c r="H200" s="29"/>
      <c r="I200" s="29"/>
      <c r="J200" s="29"/>
      <c r="K200" s="66">
        <f>-I72</f>
        <v>28757</v>
      </c>
      <c r="L200" s="29"/>
      <c r="M200" s="103"/>
      <c r="N200" s="107"/>
      <c r="O200" s="6"/>
    </row>
    <row r="201" spans="1:15" ht="15.75">
      <c r="A201" s="108"/>
      <c r="B201" s="162" t="s">
        <v>141</v>
      </c>
      <c r="C201" s="67"/>
      <c r="D201" s="67"/>
      <c r="E201" s="74"/>
      <c r="F201" s="74"/>
      <c r="G201" s="74"/>
      <c r="H201" s="29"/>
      <c r="I201" s="29"/>
      <c r="J201" s="29"/>
      <c r="K201" s="73"/>
      <c r="L201" s="29"/>
      <c r="M201" s="103"/>
      <c r="N201" s="109"/>
      <c r="O201" s="6"/>
    </row>
    <row r="202" spans="1:15" ht="15.75">
      <c r="A202" s="108"/>
      <c r="B202" s="74" t="s">
        <v>142</v>
      </c>
      <c r="C202" s="67"/>
      <c r="D202" s="67"/>
      <c r="E202" s="74"/>
      <c r="F202" s="74"/>
      <c r="G202" s="74"/>
      <c r="H202" s="29"/>
      <c r="I202" s="29"/>
      <c r="J202" s="29"/>
      <c r="K202" s="89">
        <f>I142</f>
        <v>424</v>
      </c>
      <c r="L202" s="29"/>
      <c r="M202" s="103"/>
      <c r="N202" s="109"/>
      <c r="O202" s="6"/>
    </row>
    <row r="203" spans="1:15" ht="15.75">
      <c r="A203" s="108"/>
      <c r="B203" s="74" t="s">
        <v>143</v>
      </c>
      <c r="C203" s="67"/>
      <c r="D203" s="67"/>
      <c r="E203" s="74"/>
      <c r="F203" s="74"/>
      <c r="G203" s="74"/>
      <c r="H203" s="29"/>
      <c r="I203" s="29"/>
      <c r="J203" s="29"/>
      <c r="K203" s="89">
        <f>'Jan 2004'!K203+'April 2004'!K202</f>
        <v>7876</v>
      </c>
      <c r="L203" s="29"/>
      <c r="M203" s="103"/>
      <c r="N203" s="109"/>
      <c r="O203" s="6"/>
    </row>
    <row r="204" spans="1:15" ht="15.75">
      <c r="A204" s="108"/>
      <c r="B204" s="74" t="s">
        <v>144</v>
      </c>
      <c r="C204" s="67"/>
      <c r="D204" s="67"/>
      <c r="E204" s="74"/>
      <c r="F204" s="74"/>
      <c r="G204" s="74"/>
      <c r="H204" s="29"/>
      <c r="I204" s="29"/>
      <c r="J204" s="29"/>
      <c r="K204" s="89">
        <f>39+13+24+37+79+95+96+27+47+27+200+44+35+53+194+32+40+38+177+51+42+40</f>
        <v>1430</v>
      </c>
      <c r="L204" s="29"/>
      <c r="M204" s="103"/>
      <c r="N204" s="109"/>
      <c r="O204" s="6"/>
    </row>
    <row r="205" spans="1:15" ht="15.75">
      <c r="A205" s="108"/>
      <c r="B205" s="74"/>
      <c r="C205" s="67"/>
      <c r="D205" s="67"/>
      <c r="E205" s="74"/>
      <c r="F205" s="74"/>
      <c r="G205" s="74"/>
      <c r="H205" s="29"/>
      <c r="I205" s="29"/>
      <c r="J205" s="29"/>
      <c r="K205" s="89"/>
      <c r="L205" s="29"/>
      <c r="M205" s="103"/>
      <c r="N205" s="109"/>
      <c r="O205" s="6"/>
    </row>
    <row r="206" spans="1:15" ht="15.75">
      <c r="A206" s="106"/>
      <c r="B206" s="74" t="s">
        <v>145</v>
      </c>
      <c r="C206" s="67"/>
      <c r="D206" s="67"/>
      <c r="E206" s="67"/>
      <c r="F206" s="67"/>
      <c r="G206" s="67"/>
      <c r="H206" s="29"/>
      <c r="I206" s="29"/>
      <c r="J206" s="29"/>
      <c r="K206" s="66">
        <f>G142</f>
        <v>28</v>
      </c>
      <c r="L206" s="29"/>
      <c r="M206" s="103"/>
      <c r="N206" s="109"/>
      <c r="O206" s="6"/>
    </row>
    <row r="207" spans="1:15" ht="15.75">
      <c r="A207" s="106"/>
      <c r="B207" s="74" t="s">
        <v>146</v>
      </c>
      <c r="C207" s="67"/>
      <c r="D207" s="67"/>
      <c r="E207" s="67"/>
      <c r="F207" s="67"/>
      <c r="G207" s="67"/>
      <c r="H207" s="29"/>
      <c r="I207" s="29"/>
      <c r="J207" s="29"/>
      <c r="K207" s="66">
        <f>'Jan 2004'!K207+'April 2004'!K206</f>
        <v>816</v>
      </c>
      <c r="L207" s="29"/>
      <c r="M207" s="103"/>
      <c r="N207" s="109"/>
      <c r="O207" s="6"/>
    </row>
    <row r="208" spans="1:15" ht="15.75">
      <c r="A208" s="106"/>
      <c r="B208" s="74" t="s">
        <v>144</v>
      </c>
      <c r="C208" s="67"/>
      <c r="D208" s="67"/>
      <c r="E208" s="67"/>
      <c r="F208" s="67"/>
      <c r="G208" s="67"/>
      <c r="H208" s="29"/>
      <c r="I208" s="29"/>
      <c r="J208" s="29"/>
      <c r="K208" s="66"/>
      <c r="L208" s="29"/>
      <c r="M208" s="103"/>
      <c r="N208" s="109"/>
      <c r="O208" s="6"/>
    </row>
    <row r="209" spans="1:15" ht="15.75">
      <c r="A209" s="106"/>
      <c r="B209" s="74"/>
      <c r="C209" s="67"/>
      <c r="D209" s="67"/>
      <c r="E209" s="67"/>
      <c r="F209" s="67"/>
      <c r="G209" s="67"/>
      <c r="H209" s="29"/>
      <c r="I209" s="29"/>
      <c r="J209" s="29"/>
      <c r="K209" s="66"/>
      <c r="L209" s="29"/>
      <c r="M209" s="103"/>
      <c r="N209" s="109"/>
      <c r="O209" s="6"/>
    </row>
    <row r="210" spans="1:15" ht="15.75">
      <c r="A210" s="108"/>
      <c r="B210" s="162" t="s">
        <v>147</v>
      </c>
      <c r="C210" s="67"/>
      <c r="D210" s="67"/>
      <c r="E210" s="74"/>
      <c r="F210" s="74"/>
      <c r="G210" s="74"/>
      <c r="H210" s="29"/>
      <c r="I210" s="29"/>
      <c r="J210" s="29"/>
      <c r="K210" s="110"/>
      <c r="L210" s="29"/>
      <c r="M210" s="103"/>
      <c r="N210" s="109"/>
      <c r="O210" s="6"/>
    </row>
    <row r="211" spans="1:15" ht="15.75">
      <c r="A211" s="108"/>
      <c r="B211" s="74" t="s">
        <v>148</v>
      </c>
      <c r="C211" s="67"/>
      <c r="D211" s="67"/>
      <c r="E211" s="74"/>
      <c r="F211" s="74"/>
      <c r="G211" s="74"/>
      <c r="H211" s="29"/>
      <c r="I211" s="29"/>
      <c r="J211" s="29"/>
      <c r="K211" s="110">
        <v>0</v>
      </c>
      <c r="L211" s="29"/>
      <c r="M211" s="103"/>
      <c r="N211" s="109"/>
      <c r="O211" s="6"/>
    </row>
    <row r="212" spans="1:15" ht="15.75">
      <c r="A212" s="106"/>
      <c r="B212" s="74" t="s">
        <v>149</v>
      </c>
      <c r="C212" s="67"/>
      <c r="D212" s="67"/>
      <c r="E212" s="111"/>
      <c r="F212" s="111"/>
      <c r="G212" s="112"/>
      <c r="H212" s="29"/>
      <c r="I212" s="29"/>
      <c r="J212" s="29"/>
      <c r="K212" s="110">
        <v>0</v>
      </c>
      <c r="L212" s="29"/>
      <c r="M212" s="103"/>
      <c r="N212" s="109"/>
      <c r="O212" s="6"/>
    </row>
    <row r="213" spans="1:15" ht="15.75">
      <c r="A213" s="106"/>
      <c r="B213" s="74" t="s">
        <v>150</v>
      </c>
      <c r="C213" s="67"/>
      <c r="D213" s="67"/>
      <c r="E213" s="111"/>
      <c r="F213" s="111"/>
      <c r="G213" s="112"/>
      <c r="H213" s="29"/>
      <c r="I213" s="29"/>
      <c r="J213" s="29"/>
      <c r="K213" s="110">
        <v>0</v>
      </c>
      <c r="L213" s="29"/>
      <c r="M213" s="103"/>
      <c r="N213" s="109"/>
      <c r="O213" s="6"/>
    </row>
    <row r="214" spans="1:15" ht="15.75">
      <c r="A214" s="106"/>
      <c r="B214" s="74" t="s">
        <v>151</v>
      </c>
      <c r="C214" s="67"/>
      <c r="D214" s="67"/>
      <c r="E214" s="113"/>
      <c r="F214" s="111"/>
      <c r="G214" s="112"/>
      <c r="H214" s="29"/>
      <c r="I214" s="29"/>
      <c r="J214" s="29"/>
      <c r="K214" s="110">
        <v>0</v>
      </c>
      <c r="L214" s="29"/>
      <c r="M214" s="103"/>
      <c r="N214" s="109"/>
      <c r="O214" s="6"/>
    </row>
    <row r="215" spans="1:15" ht="15.75">
      <c r="A215" s="106"/>
      <c r="B215" s="74"/>
      <c r="C215" s="67"/>
      <c r="D215" s="67"/>
      <c r="E215" s="113"/>
      <c r="F215" s="111"/>
      <c r="G215" s="112"/>
      <c r="H215" s="29"/>
      <c r="I215" s="37"/>
      <c r="J215" s="37"/>
      <c r="K215" s="114"/>
      <c r="L215" s="37"/>
      <c r="M215" s="103"/>
      <c r="N215" s="109"/>
      <c r="O215" s="6"/>
    </row>
    <row r="216" spans="1:15" ht="15.75">
      <c r="A216" s="106"/>
      <c r="B216" s="162" t="s">
        <v>152</v>
      </c>
      <c r="C216" s="67"/>
      <c r="D216" s="67"/>
      <c r="E216" s="113"/>
      <c r="F216" s="111"/>
      <c r="G216" s="112"/>
      <c r="H216" s="29"/>
      <c r="I216" s="37"/>
      <c r="J216" s="37"/>
      <c r="K216" s="114"/>
      <c r="L216" s="37"/>
      <c r="M216" s="103"/>
      <c r="N216" s="109"/>
      <c r="O216" s="6"/>
    </row>
    <row r="217" spans="1:15" ht="15.75">
      <c r="A217" s="106"/>
      <c r="B217" s="74" t="s">
        <v>153</v>
      </c>
      <c r="C217" s="67"/>
      <c r="D217" s="67"/>
      <c r="E217" s="113"/>
      <c r="F217" s="111"/>
      <c r="G217" s="112"/>
      <c r="H217" s="29"/>
      <c r="I217" s="37"/>
      <c r="J217" s="37"/>
      <c r="K217" s="115">
        <v>148</v>
      </c>
      <c r="L217" s="37"/>
      <c r="M217" s="103"/>
      <c r="N217" s="109"/>
      <c r="O217" s="6"/>
    </row>
    <row r="218" spans="1:15" ht="15.75">
      <c r="A218" s="106"/>
      <c r="B218" s="74" t="s">
        <v>149</v>
      </c>
      <c r="C218" s="67"/>
      <c r="D218" s="67"/>
      <c r="E218" s="113"/>
      <c r="F218" s="111"/>
      <c r="G218" s="112"/>
      <c r="H218" s="29"/>
      <c r="I218" s="37"/>
      <c r="J218" s="37"/>
      <c r="K218" s="115">
        <v>1.35</v>
      </c>
      <c r="L218" s="37"/>
      <c r="M218" s="103"/>
      <c r="N218" s="109"/>
      <c r="O218" s="6"/>
    </row>
    <row r="219" spans="1:15" ht="15.75">
      <c r="A219" s="106"/>
      <c r="B219" s="74" t="s">
        <v>154</v>
      </c>
      <c r="C219" s="67"/>
      <c r="D219" s="67"/>
      <c r="E219" s="113"/>
      <c r="F219" s="111"/>
      <c r="G219" s="112"/>
      <c r="H219" s="29"/>
      <c r="I219" s="37"/>
      <c r="J219" s="37"/>
      <c r="K219" s="115">
        <v>31.23</v>
      </c>
      <c r="L219" s="37"/>
      <c r="M219" s="103"/>
      <c r="N219" s="109"/>
      <c r="O219" s="6"/>
    </row>
    <row r="220" spans="1:15" ht="15.75">
      <c r="A220" s="106"/>
      <c r="B220" s="74"/>
      <c r="C220" s="67"/>
      <c r="D220" s="67"/>
      <c r="E220" s="113"/>
      <c r="F220" s="111"/>
      <c r="G220" s="112"/>
      <c r="H220" s="29"/>
      <c r="I220" s="37"/>
      <c r="J220" s="37"/>
      <c r="K220" s="114"/>
      <c r="L220" s="37"/>
      <c r="M220" s="103"/>
      <c r="N220" s="109"/>
      <c r="O220" s="6"/>
    </row>
    <row r="221" spans="1:15" ht="15.75">
      <c r="A221" s="28"/>
      <c r="B221" s="32" t="s">
        <v>155</v>
      </c>
      <c r="C221" s="119"/>
      <c r="D221" s="119"/>
      <c r="E221" s="120"/>
      <c r="F221" s="119"/>
      <c r="G221" s="120"/>
      <c r="H221" s="119"/>
      <c r="I221" s="120" t="s">
        <v>206</v>
      </c>
      <c r="J221" s="119" t="s">
        <v>208</v>
      </c>
      <c r="K221" s="120" t="s">
        <v>215</v>
      </c>
      <c r="L221" s="119" t="s">
        <v>208</v>
      </c>
      <c r="M221" s="121"/>
      <c r="N221" s="109"/>
      <c r="O221" s="6"/>
    </row>
    <row r="222" spans="1:15" ht="15.75">
      <c r="A222" s="28"/>
      <c r="B222" s="67" t="s">
        <v>156</v>
      </c>
      <c r="C222" s="116"/>
      <c r="D222" s="116"/>
      <c r="E222" s="67"/>
      <c r="F222" s="116"/>
      <c r="G222" s="29"/>
      <c r="H222" s="116"/>
      <c r="I222" s="67">
        <v>6071</v>
      </c>
      <c r="J222" s="116">
        <f>I222/I226</f>
        <v>0.9670277158330679</v>
      </c>
      <c r="K222" s="66">
        <v>102117</v>
      </c>
      <c r="L222" s="117">
        <f>K222/K226</f>
        <v>0.9619340982309388</v>
      </c>
      <c r="M222" s="103"/>
      <c r="N222" s="109"/>
      <c r="O222" s="6"/>
    </row>
    <row r="223" spans="1:15" ht="15.75">
      <c r="A223" s="28"/>
      <c r="B223" s="67" t="s">
        <v>157</v>
      </c>
      <c r="C223" s="116"/>
      <c r="D223" s="116"/>
      <c r="E223" s="67"/>
      <c r="F223" s="116"/>
      <c r="G223" s="29"/>
      <c r="H223" s="118"/>
      <c r="I223" s="67">
        <v>93</v>
      </c>
      <c r="J223" s="116">
        <f>I223/I226</f>
        <v>0.01481363491557821</v>
      </c>
      <c r="K223" s="66">
        <v>1823</v>
      </c>
      <c r="L223" s="117">
        <f>K223/K226</f>
        <v>0.017172516437762582</v>
      </c>
      <c r="M223" s="103"/>
      <c r="N223" s="109"/>
      <c r="O223" s="6"/>
    </row>
    <row r="224" spans="1:15" ht="15.75">
      <c r="A224" s="28"/>
      <c r="B224" s="67" t="s">
        <v>158</v>
      </c>
      <c r="C224" s="116"/>
      <c r="D224" s="116"/>
      <c r="E224" s="67"/>
      <c r="F224" s="116"/>
      <c r="G224" s="29"/>
      <c r="H224" s="118"/>
      <c r="I224" s="67">
        <v>45</v>
      </c>
      <c r="J224" s="116">
        <f>I224/I226</f>
        <v>0.007167887862376553</v>
      </c>
      <c r="K224" s="66">
        <v>840</v>
      </c>
      <c r="L224" s="117">
        <f>K224/K226</f>
        <v>0.007912733849545018</v>
      </c>
      <c r="M224" s="103"/>
      <c r="N224" s="109"/>
      <c r="O224" s="6"/>
    </row>
    <row r="225" spans="1:15" ht="15.75">
      <c r="A225" s="28"/>
      <c r="B225" s="67" t="s">
        <v>159</v>
      </c>
      <c r="C225" s="116"/>
      <c r="D225" s="116"/>
      <c r="E225" s="67"/>
      <c r="F225" s="116"/>
      <c r="G225" s="29"/>
      <c r="H225" s="118"/>
      <c r="I225" s="67">
        <v>69</v>
      </c>
      <c r="J225" s="116">
        <f>I225/I226</f>
        <v>0.010990761388977381</v>
      </c>
      <c r="K225" s="66">
        <v>1378</v>
      </c>
      <c r="L225" s="117">
        <f>K225/K226</f>
        <v>0.012980651481753612</v>
      </c>
      <c r="M225" s="103"/>
      <c r="N225" s="109"/>
      <c r="O225" s="6"/>
    </row>
    <row r="226" spans="1:15" ht="15.75">
      <c r="A226" s="28"/>
      <c r="B226" s="29"/>
      <c r="C226" s="29"/>
      <c r="D226" s="29"/>
      <c r="E226" s="37"/>
      <c r="F226" s="29"/>
      <c r="G226" s="29"/>
      <c r="H226" s="29"/>
      <c r="I226" s="65">
        <f>SUM(I222:I225)</f>
        <v>6278</v>
      </c>
      <c r="J226" s="117">
        <f>SUM(J222:J225)</f>
        <v>1</v>
      </c>
      <c r="K226" s="66">
        <f>SUM(K222:K225)</f>
        <v>106158</v>
      </c>
      <c r="L226" s="117">
        <f>SUM(L222:L225)</f>
        <v>1</v>
      </c>
      <c r="M226" s="103"/>
      <c r="N226" s="29"/>
      <c r="O226" s="6"/>
    </row>
    <row r="227" spans="1:15" ht="15.75">
      <c r="A227" s="28"/>
      <c r="B227" s="29"/>
      <c r="C227" s="29"/>
      <c r="D227" s="29"/>
      <c r="E227" s="37"/>
      <c r="F227" s="29"/>
      <c r="G227" s="29"/>
      <c r="H227" s="29"/>
      <c r="I227" s="65"/>
      <c r="J227" s="117"/>
      <c r="K227" s="66"/>
      <c r="L227" s="117"/>
      <c r="M227" s="103"/>
      <c r="N227" s="29"/>
      <c r="O227" s="6"/>
    </row>
    <row r="228" spans="1:15" ht="15.75">
      <c r="A228" s="28"/>
      <c r="B228" s="32" t="s">
        <v>160</v>
      </c>
      <c r="C228" s="119"/>
      <c r="D228" s="119"/>
      <c r="E228" s="120"/>
      <c r="F228" s="119"/>
      <c r="G228" s="120"/>
      <c r="H228" s="119"/>
      <c r="I228" s="120" t="s">
        <v>206</v>
      </c>
      <c r="J228" s="119" t="s">
        <v>208</v>
      </c>
      <c r="K228" s="120" t="s">
        <v>215</v>
      </c>
      <c r="L228" s="119" t="s">
        <v>208</v>
      </c>
      <c r="M228" s="121"/>
      <c r="N228" s="109"/>
      <c r="O228" s="6"/>
    </row>
    <row r="229" spans="1:15" ht="15.75">
      <c r="A229" s="28"/>
      <c r="B229" s="67" t="s">
        <v>156</v>
      </c>
      <c r="C229" s="116"/>
      <c r="D229" s="116"/>
      <c r="E229" s="67"/>
      <c r="F229" s="116"/>
      <c r="G229" s="29"/>
      <c r="H229" s="116"/>
      <c r="I229" s="67">
        <v>12471</v>
      </c>
      <c r="J229" s="116">
        <f>I229/I233</f>
        <v>0.981118716072693</v>
      </c>
      <c r="K229" s="66">
        <v>60435</v>
      </c>
      <c r="L229" s="116">
        <f>K229/K233</f>
        <v>0.9786727555382821</v>
      </c>
      <c r="M229" s="103"/>
      <c r="N229" s="109"/>
      <c r="O229" s="6"/>
    </row>
    <row r="230" spans="1:15" ht="15.75">
      <c r="A230" s="28"/>
      <c r="B230" s="67" t="s">
        <v>157</v>
      </c>
      <c r="C230" s="116"/>
      <c r="D230" s="116"/>
      <c r="E230" s="67"/>
      <c r="F230" s="116"/>
      <c r="G230" s="29"/>
      <c r="H230" s="118"/>
      <c r="I230" s="67">
        <v>93</v>
      </c>
      <c r="J230" s="116">
        <f>I230/I233</f>
        <v>0.007316497521831484</v>
      </c>
      <c r="K230" s="66">
        <v>517</v>
      </c>
      <c r="L230" s="116">
        <f>K230/K233</f>
        <v>0.008372198471304573</v>
      </c>
      <c r="M230" s="103"/>
      <c r="N230" s="109"/>
      <c r="O230" s="6"/>
    </row>
    <row r="231" spans="1:15" ht="15.75">
      <c r="A231" s="28"/>
      <c r="B231" s="67" t="s">
        <v>158</v>
      </c>
      <c r="C231" s="116"/>
      <c r="D231" s="116"/>
      <c r="E231" s="67"/>
      <c r="F231" s="116"/>
      <c r="G231" s="29"/>
      <c r="H231" s="118"/>
      <c r="I231" s="67">
        <v>44</v>
      </c>
      <c r="J231" s="116">
        <f>I231/I233</f>
        <v>0.0034615687200062937</v>
      </c>
      <c r="K231" s="66">
        <v>204</v>
      </c>
      <c r="L231" s="116">
        <f>K231/K233</f>
        <v>0.003303536727555383</v>
      </c>
      <c r="M231" s="103"/>
      <c r="N231" s="109"/>
      <c r="O231" s="6"/>
    </row>
    <row r="232" spans="1:15" ht="15.75">
      <c r="A232" s="28"/>
      <c r="B232" s="67" t="s">
        <v>159</v>
      </c>
      <c r="C232" s="116"/>
      <c r="D232" s="116"/>
      <c r="E232" s="67"/>
      <c r="F232" s="116"/>
      <c r="G232" s="29"/>
      <c r="H232" s="118"/>
      <c r="I232" s="67">
        <v>103</v>
      </c>
      <c r="J232" s="116">
        <f>I232/I233</f>
        <v>0.008103217685469278</v>
      </c>
      <c r="K232" s="66">
        <v>596</v>
      </c>
      <c r="L232" s="116">
        <f>K232/K233</f>
        <v>0.009651509262857884</v>
      </c>
      <c r="M232" s="103"/>
      <c r="N232" s="109"/>
      <c r="O232" s="6"/>
    </row>
    <row r="233" spans="1:15" ht="15.75">
      <c r="A233" s="28"/>
      <c r="B233" s="29"/>
      <c r="C233" s="29"/>
      <c r="D233" s="29"/>
      <c r="E233" s="37"/>
      <c r="F233" s="29"/>
      <c r="G233" s="29"/>
      <c r="H233" s="29"/>
      <c r="I233" s="65">
        <f>SUM(I229:I232)</f>
        <v>12711</v>
      </c>
      <c r="J233" s="117">
        <f>SUM(J229:J232)</f>
        <v>1</v>
      </c>
      <c r="K233" s="66">
        <f>SUM(K229:K232)</f>
        <v>61752</v>
      </c>
      <c r="L233" s="117">
        <f>SUM(L229:L232)</f>
        <v>0.9999999999999999</v>
      </c>
      <c r="M233" s="103"/>
      <c r="N233" s="29"/>
      <c r="O233" s="6"/>
    </row>
    <row r="234" spans="1:15" ht="15.75">
      <c r="A234" s="28"/>
      <c r="B234" s="29"/>
      <c r="C234" s="29"/>
      <c r="D234" s="29"/>
      <c r="E234" s="37"/>
      <c r="F234" s="29"/>
      <c r="G234" s="29"/>
      <c r="H234" s="29"/>
      <c r="I234" s="65"/>
      <c r="J234" s="117"/>
      <c r="K234" s="66"/>
      <c r="L234" s="117"/>
      <c r="M234" s="103"/>
      <c r="N234" s="29"/>
      <c r="O234" s="6"/>
    </row>
    <row r="235" spans="1:15" ht="15.75">
      <c r="A235" s="28"/>
      <c r="B235" s="29" t="s">
        <v>161</v>
      </c>
      <c r="C235" s="29"/>
      <c r="D235" s="29"/>
      <c r="E235" s="37"/>
      <c r="F235" s="29"/>
      <c r="G235" s="29"/>
      <c r="H235" s="29"/>
      <c r="I235" s="65"/>
      <c r="J235" s="117"/>
      <c r="K235" s="66">
        <f>K226+K233</f>
        <v>167910</v>
      </c>
      <c r="L235" s="117"/>
      <c r="M235" s="103"/>
      <c r="N235" s="29"/>
      <c r="O235" s="6"/>
    </row>
    <row r="236" spans="1:15" ht="15.75">
      <c r="A236" s="28"/>
      <c r="B236" s="29"/>
      <c r="C236" s="29"/>
      <c r="D236" s="29"/>
      <c r="E236" s="37"/>
      <c r="F236" s="29"/>
      <c r="G236" s="29"/>
      <c r="H236" s="29"/>
      <c r="I236" s="65"/>
      <c r="J236" s="117"/>
      <c r="K236" s="66"/>
      <c r="L236" s="117"/>
      <c r="M236" s="103"/>
      <c r="N236" s="29"/>
      <c r="O236" s="6"/>
    </row>
    <row r="237" spans="1:15" ht="15.75">
      <c r="A237" s="28"/>
      <c r="B237" s="29"/>
      <c r="C237" s="29"/>
      <c r="D237" s="29"/>
      <c r="E237" s="37"/>
      <c r="F237" s="29"/>
      <c r="G237" s="29"/>
      <c r="H237" s="29"/>
      <c r="I237" s="65"/>
      <c r="J237" s="117"/>
      <c r="K237" s="66"/>
      <c r="L237" s="117"/>
      <c r="M237" s="103"/>
      <c r="N237" s="29"/>
      <c r="O237" s="6"/>
    </row>
    <row r="238" spans="1:15" ht="15.75">
      <c r="A238" s="122"/>
      <c r="B238" s="17" t="s">
        <v>162</v>
      </c>
      <c r="C238" s="123"/>
      <c r="D238" s="123"/>
      <c r="E238" s="20" t="s">
        <v>182</v>
      </c>
      <c r="F238" s="18"/>
      <c r="G238" s="17" t="s">
        <v>194</v>
      </c>
      <c r="H238" s="124"/>
      <c r="I238" s="124"/>
      <c r="J238" s="124"/>
      <c r="K238" s="125"/>
      <c r="L238" s="14"/>
      <c r="M238" s="14"/>
      <c r="N238" s="14"/>
      <c r="O238" s="6"/>
    </row>
    <row r="239" spans="1:15" ht="15.75">
      <c r="A239" s="122"/>
      <c r="B239" s="15" t="s">
        <v>163</v>
      </c>
      <c r="C239" s="126"/>
      <c r="D239" s="126"/>
      <c r="E239" s="127" t="s">
        <v>183</v>
      </c>
      <c r="F239" s="15"/>
      <c r="G239" s="15" t="s">
        <v>195</v>
      </c>
      <c r="H239" s="126"/>
      <c r="I239" s="126"/>
      <c r="J239" s="14"/>
      <c r="K239" s="14"/>
      <c r="L239" s="14"/>
      <c r="M239" s="14"/>
      <c r="N239" s="14"/>
      <c r="O239" s="6"/>
    </row>
    <row r="240" spans="1:15" ht="15.75">
      <c r="A240" s="122"/>
      <c r="B240" s="15" t="s">
        <v>164</v>
      </c>
      <c r="C240" s="126"/>
      <c r="D240" s="126"/>
      <c r="E240" s="127" t="s">
        <v>184</v>
      </c>
      <c r="F240" s="15"/>
      <c r="G240" s="15" t="s">
        <v>196</v>
      </c>
      <c r="H240" s="126"/>
      <c r="I240" s="126"/>
      <c r="J240" s="14"/>
      <c r="K240" s="14"/>
      <c r="L240" s="14"/>
      <c r="M240" s="14"/>
      <c r="N240" s="14"/>
      <c r="O240" s="6"/>
    </row>
    <row r="241" spans="1:15" ht="15.75">
      <c r="A241" s="122"/>
      <c r="B241" s="15"/>
      <c r="C241" s="126"/>
      <c r="D241" s="126"/>
      <c r="E241" s="127"/>
      <c r="F241" s="15"/>
      <c r="G241" s="15"/>
      <c r="H241" s="126"/>
      <c r="I241" s="126"/>
      <c r="J241" s="14"/>
      <c r="K241" s="14"/>
      <c r="L241" s="14"/>
      <c r="M241" s="14"/>
      <c r="N241" s="14"/>
      <c r="O241" s="6"/>
    </row>
    <row r="242" spans="1:15" ht="15.75">
      <c r="A242" s="122"/>
      <c r="B242" s="15"/>
      <c r="C242" s="126"/>
      <c r="D242" s="126"/>
      <c r="E242" s="127"/>
      <c r="F242" s="15"/>
      <c r="G242" s="15"/>
      <c r="H242" s="126"/>
      <c r="I242" s="126"/>
      <c r="J242" s="14"/>
      <c r="K242" s="14"/>
      <c r="L242" s="14"/>
      <c r="M242" s="14"/>
      <c r="N242" s="14"/>
      <c r="O242" s="6"/>
    </row>
    <row r="243" spans="1:15" ht="15.75">
      <c r="A243" s="122"/>
      <c r="B243" s="15" t="str">
        <f>B174</f>
        <v>PASF1 INVESTOR REPORT QUARTER ENDING APRIL 2004</v>
      </c>
      <c r="C243" s="126"/>
      <c r="D243" s="126"/>
      <c r="E243" s="127"/>
      <c r="F243" s="15"/>
      <c r="G243" s="15"/>
      <c r="H243" s="126"/>
      <c r="I243" s="126"/>
      <c r="J243" s="14"/>
      <c r="K243" s="14"/>
      <c r="L243" s="14"/>
      <c r="M243" s="14"/>
      <c r="N243" s="14"/>
      <c r="O243" s="6"/>
    </row>
    <row r="244" spans="1:14" ht="15">
      <c r="A244" s="130"/>
      <c r="B244" s="130"/>
      <c r="C244" s="130"/>
      <c r="D244" s="130"/>
      <c r="E244" s="130"/>
      <c r="F244" s="130"/>
      <c r="G244" s="130"/>
      <c r="H244" s="130"/>
      <c r="I244" s="130"/>
      <c r="J244" s="130"/>
      <c r="K244" s="130"/>
      <c r="L244" s="130"/>
      <c r="M244" s="130"/>
      <c r="N244" s="130"/>
    </row>
  </sheetData>
  <printOptions horizontalCentered="1" verticalCentered="1"/>
  <pageMargins left="0.2362204724409449" right="0.4330708661417323" top="0.2362204724409449" bottom="0.31496062992125984" header="0" footer="0"/>
  <pageSetup horizontalDpi="600" verticalDpi="600" orientation="landscape" paperSize="9" scale="48" r:id="rId2"/>
  <rowBreaks count="3" manualBreakCount="3">
    <brk id="53" max="14" man="1"/>
    <brk id="116" max="14" man="1"/>
    <brk id="174" max="14" man="1"/>
  </rowBreaks>
  <drawing r:id="rId1"/>
</worksheet>
</file>

<file path=xl/worksheets/sheet15.xml><?xml version="1.0" encoding="utf-8"?>
<worksheet xmlns="http://schemas.openxmlformats.org/spreadsheetml/2006/main" xmlns:r="http://schemas.openxmlformats.org/officeDocument/2006/relationships">
  <dimension ref="A1:T24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49.6640625" style="1" customWidth="1"/>
    <col min="3" max="3" width="12.6640625" style="1" customWidth="1"/>
    <col min="4" max="4" width="18.6640625" style="1" customWidth="1"/>
    <col min="5" max="5" width="14.6640625" style="1" customWidth="1"/>
    <col min="6" max="6" width="4.6640625" style="1" customWidth="1"/>
    <col min="7" max="7" width="14.6640625" style="1" customWidth="1"/>
    <col min="8" max="8" width="4.6640625" style="1" customWidth="1"/>
    <col min="9" max="9" width="19.6640625" style="1" customWidth="1"/>
    <col min="10" max="10" width="6.6640625" style="1" customWidth="1"/>
    <col min="11" max="11" width="12.4453125" style="1" customWidth="1"/>
    <col min="12" max="12" width="8.6640625" style="1" customWidth="1"/>
    <col min="13" max="13" width="14.6640625" style="1" customWidth="1"/>
    <col min="14" max="14" width="2.6640625" style="1" customWidth="1"/>
    <col min="15" max="16384" width="9.6640625" style="1" customWidth="1"/>
  </cols>
  <sheetData>
    <row r="1" spans="1:15" ht="20.25">
      <c r="A1" s="2"/>
      <c r="B1" s="3" t="s">
        <v>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44" t="s">
        <v>1</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241</v>
      </c>
      <c r="C5" s="13"/>
      <c r="D5" s="13"/>
      <c r="E5" s="9"/>
      <c r="F5" s="9"/>
      <c r="G5" s="9"/>
      <c r="H5" s="9"/>
      <c r="I5" s="9"/>
      <c r="J5" s="9"/>
      <c r="K5" s="9"/>
      <c r="L5" s="9"/>
      <c r="M5" s="9"/>
      <c r="N5" s="9"/>
      <c r="O5" s="6"/>
    </row>
    <row r="6" spans="1:15" ht="15.75">
      <c r="A6" s="7"/>
      <c r="B6" s="12" t="s">
        <v>242</v>
      </c>
      <c r="C6" s="13"/>
      <c r="D6" s="13"/>
      <c r="E6" s="9"/>
      <c r="F6" s="9"/>
      <c r="G6" s="9"/>
      <c r="H6" s="9"/>
      <c r="I6" s="9"/>
      <c r="J6" s="9"/>
      <c r="K6" s="9"/>
      <c r="L6" s="9"/>
      <c r="M6" s="9"/>
      <c r="N6" s="9"/>
      <c r="O6" s="6"/>
    </row>
    <row r="7" spans="1:15" ht="15.75">
      <c r="A7" s="7"/>
      <c r="B7" s="12" t="s">
        <v>4</v>
      </c>
      <c r="C7" s="13"/>
      <c r="D7" s="13"/>
      <c r="E7" s="9"/>
      <c r="F7" s="9"/>
      <c r="G7" s="9"/>
      <c r="H7" s="9"/>
      <c r="I7" s="9"/>
      <c r="J7" s="9"/>
      <c r="K7" s="9"/>
      <c r="L7" s="9"/>
      <c r="M7" s="9"/>
      <c r="N7" s="9"/>
      <c r="O7" s="6"/>
    </row>
    <row r="8" spans="1:15" ht="15.75">
      <c r="A8" s="7"/>
      <c r="B8" s="14"/>
      <c r="C8" s="13"/>
      <c r="D8" s="13"/>
      <c r="E8" s="9"/>
      <c r="F8" s="9"/>
      <c r="G8" s="9"/>
      <c r="H8" s="9"/>
      <c r="I8" s="9"/>
      <c r="J8" s="9"/>
      <c r="K8" s="9"/>
      <c r="L8" s="9"/>
      <c r="M8" s="9"/>
      <c r="N8" s="9"/>
      <c r="O8" s="6"/>
    </row>
    <row r="9" spans="1:15" ht="15.75">
      <c r="A9" s="7"/>
      <c r="B9" s="13"/>
      <c r="C9" s="13"/>
      <c r="D9" s="13"/>
      <c r="E9" s="15"/>
      <c r="F9" s="15"/>
      <c r="G9" s="9"/>
      <c r="H9" s="9"/>
      <c r="I9" s="9"/>
      <c r="J9" s="9"/>
      <c r="K9" s="9"/>
      <c r="L9" s="9"/>
      <c r="M9" s="9"/>
      <c r="N9" s="9"/>
      <c r="O9" s="6"/>
    </row>
    <row r="10" spans="1:15" ht="15.75">
      <c r="A10" s="7"/>
      <c r="B10" s="15" t="s">
        <v>5</v>
      </c>
      <c r="C10" s="15"/>
      <c r="D10" s="15"/>
      <c r="E10" s="9"/>
      <c r="F10" s="9"/>
      <c r="G10" s="9"/>
      <c r="H10" s="9"/>
      <c r="I10" s="9"/>
      <c r="J10" s="9"/>
      <c r="K10" s="9"/>
      <c r="L10" s="9"/>
      <c r="M10" s="9"/>
      <c r="N10" s="9"/>
      <c r="O10" s="6"/>
    </row>
    <row r="11" spans="1:15" ht="15.75">
      <c r="A11" s="7"/>
      <c r="B11" s="15"/>
      <c r="C11" s="15"/>
      <c r="D11" s="15"/>
      <c r="E11" s="9"/>
      <c r="F11" s="9"/>
      <c r="G11" s="9"/>
      <c r="H11" s="9"/>
      <c r="I11" s="9"/>
      <c r="J11" s="9"/>
      <c r="K11" s="9"/>
      <c r="L11" s="9"/>
      <c r="M11" s="9"/>
      <c r="N11" s="9"/>
      <c r="O11" s="6"/>
    </row>
    <row r="12" spans="1:15" ht="15.75">
      <c r="A12" s="2"/>
      <c r="B12" s="5"/>
      <c r="C12" s="5"/>
      <c r="D12" s="5"/>
      <c r="E12" s="5"/>
      <c r="F12" s="5"/>
      <c r="G12" s="5"/>
      <c r="H12" s="5"/>
      <c r="I12" s="5"/>
      <c r="J12" s="5"/>
      <c r="K12" s="5"/>
      <c r="L12" s="5"/>
      <c r="M12" s="5"/>
      <c r="N12" s="5"/>
      <c r="O12" s="6"/>
    </row>
    <row r="13" spans="1:15" ht="15.75">
      <c r="A13" s="7"/>
      <c r="B13" s="17" t="s">
        <v>6</v>
      </c>
      <c r="C13" s="17"/>
      <c r="D13" s="17"/>
      <c r="E13" s="18"/>
      <c r="F13" s="18"/>
      <c r="G13" s="18"/>
      <c r="H13" s="18"/>
      <c r="I13" s="18"/>
      <c r="J13" s="18"/>
      <c r="K13" s="18"/>
      <c r="L13" s="18"/>
      <c r="M13" s="19" t="s">
        <v>217</v>
      </c>
      <c r="N13" s="9"/>
      <c r="O13" s="6"/>
    </row>
    <row r="14" spans="1:15" ht="15.75">
      <c r="A14" s="7"/>
      <c r="B14" s="17" t="s">
        <v>7</v>
      </c>
      <c r="C14" s="17"/>
      <c r="D14" s="18"/>
      <c r="E14" s="18"/>
      <c r="F14" s="18"/>
      <c r="G14" s="18"/>
      <c r="H14" s="20" t="s">
        <v>197</v>
      </c>
      <c r="I14" s="21">
        <v>0.52</v>
      </c>
      <c r="J14" s="20" t="s">
        <v>207</v>
      </c>
      <c r="K14" s="21">
        <v>0.48</v>
      </c>
      <c r="L14" s="18"/>
      <c r="M14" s="19"/>
      <c r="N14" s="9"/>
      <c r="O14" s="6"/>
    </row>
    <row r="15" spans="1:15" ht="15.75">
      <c r="A15" s="7"/>
      <c r="B15" s="17" t="s">
        <v>8</v>
      </c>
      <c r="C15" s="17"/>
      <c r="D15" s="18"/>
      <c r="E15" s="18"/>
      <c r="F15" s="18"/>
      <c r="G15" s="18"/>
      <c r="H15" s="20" t="s">
        <v>197</v>
      </c>
      <c r="I15" s="21">
        <f>K233/K235</f>
        <v>0.33960774862169735</v>
      </c>
      <c r="J15" s="20" t="s">
        <v>207</v>
      </c>
      <c r="K15" s="21">
        <f>K226/K235</f>
        <v>0.6603922513783027</v>
      </c>
      <c r="L15" s="18"/>
      <c r="M15" s="19"/>
      <c r="N15" s="9"/>
      <c r="O15" s="6"/>
    </row>
    <row r="16" spans="1:15" ht="15.75">
      <c r="A16" s="7"/>
      <c r="B16" s="17" t="s">
        <v>9</v>
      </c>
      <c r="C16" s="17"/>
      <c r="D16" s="17"/>
      <c r="E16" s="18"/>
      <c r="F16" s="18"/>
      <c r="G16" s="18"/>
      <c r="H16" s="18"/>
      <c r="I16" s="18"/>
      <c r="J16" s="18"/>
      <c r="K16" s="18"/>
      <c r="L16" s="18"/>
      <c r="M16" s="22">
        <v>36853</v>
      </c>
      <c r="N16" s="9"/>
      <c r="O16" s="6"/>
    </row>
    <row r="17" spans="1:15" ht="15.75">
      <c r="A17" s="7"/>
      <c r="B17" s="17" t="s">
        <v>10</v>
      </c>
      <c r="C17" s="17"/>
      <c r="D17" s="17"/>
      <c r="E17" s="18"/>
      <c r="F17" s="18"/>
      <c r="G17" s="18"/>
      <c r="H17" s="18"/>
      <c r="I17" s="18"/>
      <c r="J17" s="18"/>
      <c r="K17" s="18"/>
      <c r="L17" s="18"/>
      <c r="M17" s="22">
        <v>38215</v>
      </c>
      <c r="N17" s="9"/>
      <c r="O17" s="6"/>
    </row>
    <row r="18" spans="1:15" ht="15.75">
      <c r="A18" s="7"/>
      <c r="B18" s="9"/>
      <c r="C18" s="9"/>
      <c r="D18" s="9"/>
      <c r="E18" s="9"/>
      <c r="F18" s="9"/>
      <c r="G18" s="9"/>
      <c r="H18" s="9"/>
      <c r="I18" s="9"/>
      <c r="J18" s="9"/>
      <c r="K18" s="9"/>
      <c r="L18" s="9"/>
      <c r="M18" s="23"/>
      <c r="N18" s="9"/>
      <c r="O18" s="6"/>
    </row>
    <row r="19" spans="1:15" ht="15.75">
      <c r="A19" s="7"/>
      <c r="B19" s="24" t="s">
        <v>11</v>
      </c>
      <c r="C19" s="9"/>
      <c r="D19" s="9"/>
      <c r="E19" s="9"/>
      <c r="F19" s="9"/>
      <c r="G19" s="9"/>
      <c r="H19" s="9"/>
      <c r="I19" s="9"/>
      <c r="J19" s="9"/>
      <c r="K19" s="23"/>
      <c r="L19" s="9"/>
      <c r="M19" s="14"/>
      <c r="N19" s="9"/>
      <c r="O19" s="6"/>
    </row>
    <row r="20" spans="1:15" ht="15.75">
      <c r="A20" s="7"/>
      <c r="B20" s="9"/>
      <c r="C20" s="9"/>
      <c r="D20" s="9"/>
      <c r="E20" s="9"/>
      <c r="F20" s="9"/>
      <c r="G20" s="9"/>
      <c r="H20" s="9"/>
      <c r="I20" s="9"/>
      <c r="J20" s="9"/>
      <c r="K20" s="9"/>
      <c r="L20" s="9"/>
      <c r="M20" s="25"/>
      <c r="N20" s="9"/>
      <c r="O20" s="6"/>
    </row>
    <row r="21" spans="1:15" ht="31.5">
      <c r="A21" s="7"/>
      <c r="B21" s="9"/>
      <c r="C21" s="145" t="s">
        <v>165</v>
      </c>
      <c r="D21" s="168" t="s">
        <v>168</v>
      </c>
      <c r="E21" s="168" t="s">
        <v>179</v>
      </c>
      <c r="F21" s="168"/>
      <c r="G21" s="168" t="s">
        <v>185</v>
      </c>
      <c r="H21" s="168"/>
      <c r="I21" s="168" t="s">
        <v>198</v>
      </c>
      <c r="J21" s="26"/>
      <c r="K21" s="27"/>
      <c r="L21" s="14"/>
      <c r="M21" s="14"/>
      <c r="N21" s="9"/>
      <c r="O21" s="6"/>
    </row>
    <row r="22" spans="1:15" ht="15.75">
      <c r="A22" s="28"/>
      <c r="B22" s="29" t="s">
        <v>12</v>
      </c>
      <c r="C22" s="146" t="s">
        <v>166</v>
      </c>
      <c r="D22" s="30" t="s">
        <v>169</v>
      </c>
      <c r="E22" s="30"/>
      <c r="F22" s="30"/>
      <c r="G22" s="30" t="s">
        <v>186</v>
      </c>
      <c r="H22" s="30"/>
      <c r="I22" s="30" t="s">
        <v>199</v>
      </c>
      <c r="J22" s="30"/>
      <c r="K22" s="30"/>
      <c r="L22" s="31"/>
      <c r="M22" s="31"/>
      <c r="N22" s="29"/>
      <c r="O22" s="6"/>
    </row>
    <row r="23" spans="1:15" ht="15.75">
      <c r="A23" s="28"/>
      <c r="B23" s="29" t="s">
        <v>13</v>
      </c>
      <c r="C23" s="32"/>
      <c r="D23" s="33" t="s">
        <v>170</v>
      </c>
      <c r="E23" s="34"/>
      <c r="F23" s="33"/>
      <c r="G23" s="33" t="s">
        <v>187</v>
      </c>
      <c r="H23" s="33"/>
      <c r="I23" s="33" t="s">
        <v>200</v>
      </c>
      <c r="J23" s="35"/>
      <c r="K23" s="35"/>
      <c r="L23" s="36"/>
      <c r="M23" s="31"/>
      <c r="N23" s="29"/>
      <c r="O23" s="6"/>
    </row>
    <row r="24" spans="1:15" ht="15.75">
      <c r="A24" s="28"/>
      <c r="B24" s="32" t="s">
        <v>14</v>
      </c>
      <c r="C24" s="32"/>
      <c r="D24" s="35" t="s">
        <v>169</v>
      </c>
      <c r="E24" s="35"/>
      <c r="F24" s="35"/>
      <c r="G24" s="35" t="s">
        <v>186</v>
      </c>
      <c r="H24" s="35"/>
      <c r="I24" s="35" t="s">
        <v>199</v>
      </c>
      <c r="J24" s="35"/>
      <c r="K24" s="35"/>
      <c r="L24" s="36"/>
      <c r="M24" s="31"/>
      <c r="N24" s="29"/>
      <c r="O24" s="6"/>
    </row>
    <row r="25" spans="1:15" ht="15.75">
      <c r="A25" s="28"/>
      <c r="B25" s="32" t="s">
        <v>15</v>
      </c>
      <c r="C25" s="32"/>
      <c r="D25" s="35" t="s">
        <v>170</v>
      </c>
      <c r="E25" s="35"/>
      <c r="F25" s="35"/>
      <c r="G25" s="35" t="s">
        <v>187</v>
      </c>
      <c r="H25" s="35"/>
      <c r="I25" s="35" t="s">
        <v>200</v>
      </c>
      <c r="J25" s="35"/>
      <c r="K25" s="35"/>
      <c r="L25" s="36"/>
      <c r="M25" s="31"/>
      <c r="N25" s="29"/>
      <c r="O25" s="6"/>
    </row>
    <row r="26" spans="1:15" ht="15.75">
      <c r="A26" s="28"/>
      <c r="B26" s="29" t="s">
        <v>16</v>
      </c>
      <c r="C26" s="29"/>
      <c r="D26" s="37" t="s">
        <v>171</v>
      </c>
      <c r="E26" s="37"/>
      <c r="F26" s="30"/>
      <c r="G26" s="37" t="s">
        <v>188</v>
      </c>
      <c r="H26" s="30"/>
      <c r="I26" s="37" t="s">
        <v>201</v>
      </c>
      <c r="J26" s="30"/>
      <c r="K26" s="37"/>
      <c r="L26" s="31"/>
      <c r="M26" s="31"/>
      <c r="N26" s="29"/>
      <c r="O26" s="6"/>
    </row>
    <row r="27" spans="1:15" ht="15.75">
      <c r="A27" s="28"/>
      <c r="B27" s="29"/>
      <c r="C27" s="29"/>
      <c r="D27" s="29"/>
      <c r="E27" s="29"/>
      <c r="F27" s="30"/>
      <c r="G27" s="30"/>
      <c r="H27" s="30"/>
      <c r="I27" s="30"/>
      <c r="J27" s="30"/>
      <c r="K27" s="30"/>
      <c r="L27" s="31"/>
      <c r="M27" s="31"/>
      <c r="N27" s="29"/>
      <c r="O27" s="6"/>
    </row>
    <row r="28" spans="1:15" ht="15.75">
      <c r="A28" s="28"/>
      <c r="B28" s="29" t="s">
        <v>17</v>
      </c>
      <c r="C28" s="29"/>
      <c r="D28" s="38" t="s">
        <v>172</v>
      </c>
      <c r="E28" s="38">
        <v>168668</v>
      </c>
      <c r="F28" s="39"/>
      <c r="G28" s="38">
        <v>16580</v>
      </c>
      <c r="H28" s="38"/>
      <c r="I28" s="38">
        <v>9750</v>
      </c>
      <c r="J28" s="38"/>
      <c r="K28" s="38"/>
      <c r="L28" s="39" t="s">
        <v>172</v>
      </c>
      <c r="M28" s="38">
        <f>K28+I28+G28+E28</f>
        <v>194998</v>
      </c>
      <c r="N28" s="40"/>
      <c r="O28" s="6"/>
    </row>
    <row r="29" spans="1:15" ht="15.75">
      <c r="A29" s="28"/>
      <c r="B29" s="29" t="s">
        <v>18</v>
      </c>
      <c r="C29" s="41">
        <f>M28/M29</f>
        <v>1</v>
      </c>
      <c r="D29" s="38" t="s">
        <v>173</v>
      </c>
      <c r="E29" s="38">
        <v>168668</v>
      </c>
      <c r="F29" s="39"/>
      <c r="G29" s="38">
        <v>16580</v>
      </c>
      <c r="H29" s="38"/>
      <c r="I29" s="38">
        <v>9750</v>
      </c>
      <c r="J29" s="42"/>
      <c r="K29" s="38"/>
      <c r="L29" s="39" t="s">
        <v>172</v>
      </c>
      <c r="M29" s="38">
        <f>K29+I29+G29+E29</f>
        <v>194998</v>
      </c>
      <c r="N29" s="40"/>
      <c r="O29" s="6"/>
    </row>
    <row r="30" spans="1:15" ht="15.75">
      <c r="A30" s="43"/>
      <c r="B30" s="32" t="s">
        <v>19</v>
      </c>
      <c r="C30" s="44">
        <f>M29/M30</f>
        <v>1</v>
      </c>
      <c r="D30" s="45" t="s">
        <v>172</v>
      </c>
      <c r="E30" s="45">
        <v>168668</v>
      </c>
      <c r="F30" s="46"/>
      <c r="G30" s="45">
        <v>16580</v>
      </c>
      <c r="H30" s="45"/>
      <c r="I30" s="45">
        <v>9750</v>
      </c>
      <c r="J30" s="45"/>
      <c r="K30" s="45"/>
      <c r="L30" s="46" t="s">
        <v>172</v>
      </c>
      <c r="M30" s="45">
        <f>K30+I30+G30+E30</f>
        <v>194998</v>
      </c>
      <c r="N30" s="29"/>
      <c r="O30" s="6"/>
    </row>
    <row r="31" spans="1:15" ht="15.75">
      <c r="A31" s="28"/>
      <c r="B31" s="29" t="s">
        <v>20</v>
      </c>
      <c r="C31" s="140"/>
      <c r="D31" s="37" t="s">
        <v>174</v>
      </c>
      <c r="E31" s="37"/>
      <c r="F31" s="29"/>
      <c r="G31" s="37" t="s">
        <v>189</v>
      </c>
      <c r="H31" s="37"/>
      <c r="I31" s="37" t="s">
        <v>202</v>
      </c>
      <c r="J31" s="37"/>
      <c r="K31" s="37"/>
      <c r="L31" s="31"/>
      <c r="M31" s="31"/>
      <c r="N31" s="29"/>
      <c r="O31" s="6"/>
    </row>
    <row r="32" spans="1:15" ht="15.75">
      <c r="A32" s="28"/>
      <c r="B32" s="29" t="s">
        <v>21</v>
      </c>
      <c r="C32" s="140"/>
      <c r="D32" s="48" t="s">
        <v>175</v>
      </c>
      <c r="E32" s="49">
        <v>0.0486938</v>
      </c>
      <c r="F32" s="50"/>
      <c r="G32" s="48">
        <v>0.0529438</v>
      </c>
      <c r="H32" s="48"/>
      <c r="I32" s="48">
        <v>0.0629438</v>
      </c>
      <c r="J32" s="51"/>
      <c r="K32" s="48"/>
      <c r="L32" s="31"/>
      <c r="M32" s="51">
        <f>SUMPRODUCT(E32:K32,E30:K30)/M30</f>
        <v>0.04976766998841013</v>
      </c>
      <c r="N32" s="29"/>
      <c r="O32" s="6"/>
    </row>
    <row r="33" spans="1:15" ht="15.75">
      <c r="A33" s="28"/>
      <c r="B33" s="29" t="s">
        <v>22</v>
      </c>
      <c r="C33" s="140"/>
      <c r="D33" s="48">
        <v>0.02433</v>
      </c>
      <c r="E33" s="48"/>
      <c r="F33" s="50"/>
      <c r="G33" s="48" t="s">
        <v>175</v>
      </c>
      <c r="H33" s="48"/>
      <c r="I33" s="48" t="s">
        <v>175</v>
      </c>
      <c r="J33" s="51"/>
      <c r="K33" s="48"/>
      <c r="L33" s="31"/>
      <c r="M33" s="51"/>
      <c r="N33" s="29"/>
      <c r="O33" s="6"/>
    </row>
    <row r="34" spans="1:15" ht="15.75">
      <c r="A34" s="28"/>
      <c r="B34" s="29" t="s">
        <v>23</v>
      </c>
      <c r="C34" s="140"/>
      <c r="D34" s="48" t="s">
        <v>175</v>
      </c>
      <c r="E34" s="48"/>
      <c r="F34" s="48"/>
      <c r="G34" s="48">
        <v>0.049575</v>
      </c>
      <c r="H34" s="48"/>
      <c r="I34" s="48">
        <v>0.059575</v>
      </c>
      <c r="J34" s="51"/>
      <c r="K34" s="48"/>
      <c r="L34" s="31"/>
      <c r="M34" s="31"/>
      <c r="N34" s="29"/>
      <c r="O34" s="6"/>
    </row>
    <row r="35" spans="1:15" ht="15.75">
      <c r="A35" s="28"/>
      <c r="B35" s="29" t="s">
        <v>24</v>
      </c>
      <c r="C35" s="140"/>
      <c r="D35" s="48">
        <v>0.02407</v>
      </c>
      <c r="E35" s="48"/>
      <c r="F35" s="50"/>
      <c r="G35" s="48" t="s">
        <v>175</v>
      </c>
      <c r="H35" s="48"/>
      <c r="I35" s="48" t="s">
        <v>175</v>
      </c>
      <c r="J35" s="51"/>
      <c r="K35" s="48"/>
      <c r="L35" s="31"/>
      <c r="M35" s="31"/>
      <c r="N35" s="29"/>
      <c r="O35" s="6"/>
    </row>
    <row r="36" spans="1:15" ht="15.75">
      <c r="A36" s="28"/>
      <c r="B36" s="29" t="s">
        <v>25</v>
      </c>
      <c r="C36" s="140"/>
      <c r="D36" s="37" t="s">
        <v>176</v>
      </c>
      <c r="E36" s="37"/>
      <c r="F36" s="29"/>
      <c r="G36" s="37" t="s">
        <v>176</v>
      </c>
      <c r="H36" s="37"/>
      <c r="I36" s="37" t="s">
        <v>176</v>
      </c>
      <c r="J36" s="37"/>
      <c r="K36" s="37"/>
      <c r="L36" s="31"/>
      <c r="M36" s="31"/>
      <c r="N36" s="29"/>
      <c r="O36" s="6"/>
    </row>
    <row r="37" spans="1:15" ht="15.75">
      <c r="A37" s="28"/>
      <c r="B37" s="29" t="s">
        <v>26</v>
      </c>
      <c r="C37" s="29"/>
      <c r="D37" s="52">
        <v>39036</v>
      </c>
      <c r="E37" s="52"/>
      <c r="F37" s="29"/>
      <c r="G37" s="52">
        <v>39036</v>
      </c>
      <c r="H37" s="52"/>
      <c r="I37" s="52">
        <v>39036</v>
      </c>
      <c r="J37" s="37"/>
      <c r="K37" s="37"/>
      <c r="L37" s="31"/>
      <c r="M37" s="31"/>
      <c r="N37" s="29"/>
      <c r="O37" s="6"/>
    </row>
    <row r="38" spans="1:15" ht="15.75">
      <c r="A38" s="28"/>
      <c r="B38" s="29" t="s">
        <v>27</v>
      </c>
      <c r="C38" s="29"/>
      <c r="D38" s="37" t="s">
        <v>177</v>
      </c>
      <c r="E38" s="37"/>
      <c r="F38" s="29"/>
      <c r="G38" s="37" t="s">
        <v>190</v>
      </c>
      <c r="H38" s="37"/>
      <c r="I38" s="37" t="s">
        <v>203</v>
      </c>
      <c r="J38" s="37"/>
      <c r="K38" s="37"/>
      <c r="L38" s="31"/>
      <c r="M38" s="31"/>
      <c r="N38" s="29"/>
      <c r="O38" s="6"/>
    </row>
    <row r="39" spans="1:15" ht="15.75">
      <c r="A39" s="28"/>
      <c r="B39" s="29"/>
      <c r="C39" s="29"/>
      <c r="D39" s="29"/>
      <c r="E39" s="53"/>
      <c r="F39" s="53"/>
      <c r="G39" s="29"/>
      <c r="H39" s="53"/>
      <c r="I39" s="174"/>
      <c r="J39" s="53"/>
      <c r="K39" s="53"/>
      <c r="L39" s="53"/>
      <c r="M39" s="53"/>
      <c r="N39" s="29"/>
      <c r="O39" s="6"/>
    </row>
    <row r="40" spans="1:15" ht="15.75">
      <c r="A40" s="28"/>
      <c r="B40" s="29" t="s">
        <v>28</v>
      </c>
      <c r="C40" s="29"/>
      <c r="D40" s="29"/>
      <c r="E40" s="29"/>
      <c r="F40" s="29"/>
      <c r="G40" s="50"/>
      <c r="H40" s="29"/>
      <c r="I40" s="50"/>
      <c r="J40" s="29"/>
      <c r="K40" s="29"/>
      <c r="L40" s="29"/>
      <c r="M40" s="51">
        <f>(I28+G28)/(E28)</f>
        <v>0.15610548533213175</v>
      </c>
      <c r="N40" s="29"/>
      <c r="O40" s="6"/>
    </row>
    <row r="41" spans="1:15" ht="15.75">
      <c r="A41" s="28"/>
      <c r="B41" s="29" t="s">
        <v>29</v>
      </c>
      <c r="C41" s="29"/>
      <c r="D41" s="29"/>
      <c r="E41" s="29"/>
      <c r="F41" s="29"/>
      <c r="G41" s="50"/>
      <c r="H41" s="29"/>
      <c r="I41" s="50"/>
      <c r="J41" s="29"/>
      <c r="K41" s="29"/>
      <c r="L41" s="29"/>
      <c r="M41" s="51">
        <f>(I30+G30)/(E30)</f>
        <v>0.15610548533213175</v>
      </c>
      <c r="N41" s="29"/>
      <c r="O41" s="6"/>
    </row>
    <row r="42" spans="1:15" ht="15.75">
      <c r="A42" s="28"/>
      <c r="B42" s="29" t="s">
        <v>30</v>
      </c>
      <c r="C42" s="29"/>
      <c r="D42" s="29"/>
      <c r="E42" s="29"/>
      <c r="F42" s="29"/>
      <c r="G42" s="29"/>
      <c r="H42" s="29"/>
      <c r="I42" s="29"/>
      <c r="J42" s="29"/>
      <c r="K42" s="37" t="s">
        <v>168</v>
      </c>
      <c r="L42" s="37" t="s">
        <v>216</v>
      </c>
      <c r="M42" s="38">
        <v>60336</v>
      </c>
      <c r="N42" s="29"/>
      <c r="O42" s="6"/>
    </row>
    <row r="43" spans="1:15" ht="15.75">
      <c r="A43" s="28"/>
      <c r="B43" s="29"/>
      <c r="C43" s="29"/>
      <c r="D43" s="29"/>
      <c r="E43" s="29"/>
      <c r="F43" s="29"/>
      <c r="G43" s="29"/>
      <c r="H43" s="29"/>
      <c r="I43" s="29"/>
      <c r="J43" s="29"/>
      <c r="K43" s="29"/>
      <c r="L43" s="29"/>
      <c r="M43" s="54"/>
      <c r="N43" s="29"/>
      <c r="O43" s="6"/>
    </row>
    <row r="44" spans="1:15" ht="15.75">
      <c r="A44" s="28"/>
      <c r="B44" s="29" t="s">
        <v>31</v>
      </c>
      <c r="C44" s="29"/>
      <c r="D44" s="29"/>
      <c r="E44" s="29"/>
      <c r="F44" s="29"/>
      <c r="G44" s="29"/>
      <c r="H44" s="29"/>
      <c r="I44" s="29"/>
      <c r="J44" s="29"/>
      <c r="K44" s="37"/>
      <c r="L44" s="37"/>
      <c r="M44" s="37" t="s">
        <v>219</v>
      </c>
      <c r="N44" s="29"/>
      <c r="O44" s="6"/>
    </row>
    <row r="45" spans="1:15" ht="15.75">
      <c r="A45" s="43"/>
      <c r="B45" s="32" t="s">
        <v>32</v>
      </c>
      <c r="C45" s="32"/>
      <c r="D45" s="32"/>
      <c r="E45" s="32"/>
      <c r="F45" s="32"/>
      <c r="G45" s="32"/>
      <c r="H45" s="32"/>
      <c r="I45" s="32"/>
      <c r="J45" s="32"/>
      <c r="K45" s="55"/>
      <c r="L45" s="55"/>
      <c r="M45" s="56">
        <v>38215</v>
      </c>
      <c r="N45" s="32"/>
      <c r="O45" s="6"/>
    </row>
    <row r="46" spans="1:15" ht="15.75">
      <c r="A46" s="28"/>
      <c r="B46" s="29" t="s">
        <v>33</v>
      </c>
      <c r="C46" s="29"/>
      <c r="D46" s="29"/>
      <c r="E46" s="29"/>
      <c r="F46" s="29"/>
      <c r="G46" s="29"/>
      <c r="H46" s="29"/>
      <c r="I46" s="31"/>
      <c r="J46" s="29">
        <f>M46-K46+1</f>
        <v>91</v>
      </c>
      <c r="K46" s="58">
        <v>38033</v>
      </c>
      <c r="L46" s="59"/>
      <c r="M46" s="58">
        <v>38123</v>
      </c>
      <c r="N46" s="29"/>
      <c r="O46" s="6"/>
    </row>
    <row r="47" spans="1:15" ht="15.75">
      <c r="A47" s="28"/>
      <c r="B47" s="29" t="s">
        <v>34</v>
      </c>
      <c r="C47" s="29"/>
      <c r="D47" s="29"/>
      <c r="E47" s="29"/>
      <c r="F47" s="29"/>
      <c r="G47" s="29"/>
      <c r="H47" s="29"/>
      <c r="I47" s="31"/>
      <c r="J47" s="29">
        <f>M47-K47+1</f>
        <v>91</v>
      </c>
      <c r="K47" s="58">
        <v>38124</v>
      </c>
      <c r="L47" s="59"/>
      <c r="M47" s="58">
        <v>38214</v>
      </c>
      <c r="N47" s="29"/>
      <c r="O47" s="6"/>
    </row>
    <row r="48" spans="1:15" ht="15.75">
      <c r="A48" s="28"/>
      <c r="B48" s="29" t="s">
        <v>35</v>
      </c>
      <c r="C48" s="29"/>
      <c r="D48" s="29"/>
      <c r="E48" s="29"/>
      <c r="F48" s="29"/>
      <c r="G48" s="29"/>
      <c r="H48" s="29"/>
      <c r="I48" s="29"/>
      <c r="J48" s="29"/>
      <c r="K48" s="58"/>
      <c r="L48" s="59"/>
      <c r="M48" s="58" t="s">
        <v>220</v>
      </c>
      <c r="N48" s="29"/>
      <c r="O48" s="6"/>
    </row>
    <row r="49" spans="1:15" ht="15.75">
      <c r="A49" s="28"/>
      <c r="B49" s="29" t="s">
        <v>36</v>
      </c>
      <c r="C49" s="29"/>
      <c r="D49" s="29"/>
      <c r="E49" s="29"/>
      <c r="F49" s="29"/>
      <c r="G49" s="29"/>
      <c r="H49" s="29"/>
      <c r="I49" s="29"/>
      <c r="J49" s="29"/>
      <c r="K49" s="58"/>
      <c r="L49" s="59"/>
      <c r="M49" s="58" t="s">
        <v>246</v>
      </c>
      <c r="N49" s="29"/>
      <c r="O49" s="6"/>
    </row>
    <row r="50" spans="1:15" ht="15.75">
      <c r="A50" s="28"/>
      <c r="B50" s="29" t="s">
        <v>37</v>
      </c>
      <c r="C50" s="29"/>
      <c r="D50" s="29"/>
      <c r="E50" s="29"/>
      <c r="F50" s="29"/>
      <c r="G50" s="29"/>
      <c r="H50" s="29"/>
      <c r="I50" s="29"/>
      <c r="J50" s="29"/>
      <c r="K50" s="58"/>
      <c r="L50" s="59"/>
      <c r="M50" s="58">
        <v>38202</v>
      </c>
      <c r="N50" s="29"/>
      <c r="O50" s="6"/>
    </row>
    <row r="51" spans="1:15" ht="15.75">
      <c r="A51" s="28"/>
      <c r="B51" s="29"/>
      <c r="C51" s="29"/>
      <c r="D51" s="29"/>
      <c r="E51" s="29"/>
      <c r="F51" s="29"/>
      <c r="G51" s="29"/>
      <c r="H51" s="29"/>
      <c r="I51" s="29"/>
      <c r="J51" s="29"/>
      <c r="K51" s="29"/>
      <c r="L51" s="29"/>
      <c r="M51" s="60"/>
      <c r="N51" s="29"/>
      <c r="O51" s="6"/>
    </row>
    <row r="52" spans="1:15" ht="15.75">
      <c r="A52" s="7"/>
      <c r="B52" s="9"/>
      <c r="C52" s="9"/>
      <c r="D52" s="9"/>
      <c r="E52" s="9"/>
      <c r="F52" s="9"/>
      <c r="G52" s="9"/>
      <c r="H52" s="9"/>
      <c r="I52" s="9"/>
      <c r="J52" s="9"/>
      <c r="K52" s="9"/>
      <c r="L52" s="9"/>
      <c r="M52" s="61"/>
      <c r="N52" s="9"/>
      <c r="O52" s="6"/>
    </row>
    <row r="53" spans="1:15" ht="16.5" thickBot="1">
      <c r="A53" s="134"/>
      <c r="B53" s="135" t="s">
        <v>248</v>
      </c>
      <c r="C53" s="136"/>
      <c r="D53" s="136"/>
      <c r="E53" s="136"/>
      <c r="F53" s="136"/>
      <c r="G53" s="136"/>
      <c r="H53" s="136"/>
      <c r="I53" s="136"/>
      <c r="J53" s="136"/>
      <c r="K53" s="136"/>
      <c r="L53" s="136"/>
      <c r="M53" s="137"/>
      <c r="N53" s="138"/>
      <c r="O53" s="6"/>
    </row>
    <row r="54" spans="1:15" ht="15.75">
      <c r="A54" s="2"/>
      <c r="B54" s="5"/>
      <c r="C54" s="5"/>
      <c r="D54" s="5"/>
      <c r="E54" s="5"/>
      <c r="F54" s="5"/>
      <c r="G54" s="5"/>
      <c r="H54" s="5"/>
      <c r="I54" s="5"/>
      <c r="J54" s="5"/>
      <c r="K54" s="5"/>
      <c r="L54" s="5"/>
      <c r="M54" s="62"/>
      <c r="N54" s="5"/>
      <c r="O54" s="6"/>
    </row>
    <row r="55" spans="1:15" ht="15" customHeight="1">
      <c r="A55" s="7"/>
      <c r="B55" s="63" t="s">
        <v>39</v>
      </c>
      <c r="C55" s="15"/>
      <c r="D55" s="15"/>
      <c r="E55" s="9"/>
      <c r="F55" s="9"/>
      <c r="G55" s="9"/>
      <c r="H55" s="9"/>
      <c r="I55" s="9"/>
      <c r="J55" s="9"/>
      <c r="K55" s="9"/>
      <c r="L55" s="9"/>
      <c r="M55" s="64"/>
      <c r="N55" s="9"/>
      <c r="O55" s="6"/>
    </row>
    <row r="56" spans="1:15" ht="15.75">
      <c r="A56" s="7"/>
      <c r="B56" s="15"/>
      <c r="C56" s="15"/>
      <c r="D56" s="15"/>
      <c r="E56" s="9"/>
      <c r="F56" s="9"/>
      <c r="G56" s="9"/>
      <c r="H56" s="9"/>
      <c r="I56" s="9"/>
      <c r="J56" s="9"/>
      <c r="K56" s="9"/>
      <c r="L56" s="9"/>
      <c r="M56" s="64"/>
      <c r="N56" s="9"/>
      <c r="O56" s="6"/>
    </row>
    <row r="57" spans="1:15" s="156" customFormat="1" ht="47.25">
      <c r="A57" s="150"/>
      <c r="B57" s="151" t="s">
        <v>40</v>
      </c>
      <c r="C57" s="152" t="s">
        <v>167</v>
      </c>
      <c r="D57" s="152"/>
      <c r="E57" s="152" t="s">
        <v>180</v>
      </c>
      <c r="F57" s="152"/>
      <c r="G57" s="152" t="s">
        <v>191</v>
      </c>
      <c r="H57" s="152"/>
      <c r="I57" s="152" t="s">
        <v>204</v>
      </c>
      <c r="J57" s="152"/>
      <c r="K57" s="152" t="s">
        <v>209</v>
      </c>
      <c r="L57" s="152"/>
      <c r="M57" s="153" t="s">
        <v>222</v>
      </c>
      <c r="N57" s="154"/>
      <c r="O57" s="155"/>
    </row>
    <row r="58" spans="1:15" ht="15.75">
      <c r="A58" s="28"/>
      <c r="B58" s="29" t="s">
        <v>41</v>
      </c>
      <c r="C58" s="65">
        <v>73021</v>
      </c>
      <c r="D58" s="65"/>
      <c r="E58" s="65">
        <v>106158</v>
      </c>
      <c r="F58" s="65"/>
      <c r="G58" s="65">
        <f>19933+32+56</f>
        <v>20021</v>
      </c>
      <c r="H58" s="65"/>
      <c r="I58" s="65">
        <f>22844+460+162</f>
        <v>23466</v>
      </c>
      <c r="J58" s="65"/>
      <c r="K58" s="65">
        <v>0</v>
      </c>
      <c r="L58" s="65"/>
      <c r="M58" s="66">
        <f>E58-G58+I58-K58</f>
        <v>109603</v>
      </c>
      <c r="N58" s="29"/>
      <c r="O58" s="6"/>
    </row>
    <row r="59" spans="1:15" ht="15.75">
      <c r="A59" s="28"/>
      <c r="B59" s="29" t="s">
        <v>42</v>
      </c>
      <c r="C59" s="65">
        <v>506</v>
      </c>
      <c r="D59" s="65"/>
      <c r="E59" s="65">
        <v>0</v>
      </c>
      <c r="F59" s="65"/>
      <c r="G59" s="65">
        <v>95</v>
      </c>
      <c r="H59" s="65"/>
      <c r="I59" s="65">
        <v>95</v>
      </c>
      <c r="J59" s="65"/>
      <c r="K59" s="65">
        <v>0</v>
      </c>
      <c r="L59" s="65"/>
      <c r="M59" s="66">
        <f>E59-G59+I59-K59</f>
        <v>0</v>
      </c>
      <c r="N59" s="29"/>
      <c r="O59" s="6"/>
    </row>
    <row r="60" spans="1:15" ht="15.75">
      <c r="A60" s="28"/>
      <c r="B60" s="29"/>
      <c r="C60" s="65"/>
      <c r="D60" s="65"/>
      <c r="E60" s="65"/>
      <c r="F60" s="65"/>
      <c r="G60" s="65"/>
      <c r="H60" s="65"/>
      <c r="I60" s="65"/>
      <c r="J60" s="65"/>
      <c r="K60" s="65"/>
      <c r="L60" s="65"/>
      <c r="M60" s="66"/>
      <c r="N60" s="29"/>
      <c r="O60" s="6"/>
    </row>
    <row r="61" spans="1:15" ht="15.75">
      <c r="A61" s="28"/>
      <c r="B61" s="29" t="s">
        <v>43</v>
      </c>
      <c r="C61" s="65">
        <f>SUM(C58:C60)</f>
        <v>73527</v>
      </c>
      <c r="D61" s="65"/>
      <c r="E61" s="65">
        <f>SUM(E58:E60)</f>
        <v>106158</v>
      </c>
      <c r="F61" s="65"/>
      <c r="G61" s="65">
        <f>SUM(G58:G60)</f>
        <v>20116</v>
      </c>
      <c r="H61" s="65"/>
      <c r="I61" s="65">
        <f>SUM(I58:I60)</f>
        <v>23561</v>
      </c>
      <c r="J61" s="65"/>
      <c r="K61" s="65">
        <f>SUM(K58:K60)</f>
        <v>0</v>
      </c>
      <c r="L61" s="65"/>
      <c r="M61" s="67">
        <f>SUM(M58:M60)</f>
        <v>109603</v>
      </c>
      <c r="N61" s="29"/>
      <c r="O61" s="6"/>
    </row>
    <row r="62" spans="1:15" ht="15.75">
      <c r="A62" s="28"/>
      <c r="B62" s="29"/>
      <c r="C62" s="65"/>
      <c r="D62" s="65"/>
      <c r="E62" s="65"/>
      <c r="F62" s="65"/>
      <c r="G62" s="65"/>
      <c r="H62" s="65"/>
      <c r="I62" s="65"/>
      <c r="J62" s="65"/>
      <c r="K62" s="65"/>
      <c r="L62" s="65"/>
      <c r="M62" s="67"/>
      <c r="N62" s="29"/>
      <c r="O62" s="6"/>
    </row>
    <row r="63" spans="1:15" ht="15.75">
      <c r="A63" s="7"/>
      <c r="B63" s="144" t="s">
        <v>44</v>
      </c>
      <c r="C63" s="68"/>
      <c r="D63" s="68"/>
      <c r="E63" s="68"/>
      <c r="F63" s="68"/>
      <c r="G63" s="69"/>
      <c r="H63" s="68"/>
      <c r="I63" s="68"/>
      <c r="J63" s="68"/>
      <c r="K63" s="68"/>
      <c r="L63" s="68"/>
      <c r="M63" s="70"/>
      <c r="N63" s="9"/>
      <c r="O63" s="6"/>
    </row>
    <row r="64" spans="1:15" ht="15.75">
      <c r="A64" s="7"/>
      <c r="B64" s="9"/>
      <c r="C64" s="68"/>
      <c r="D64" s="68"/>
      <c r="E64" s="68"/>
      <c r="F64" s="68"/>
      <c r="G64" s="68"/>
      <c r="H64" s="68"/>
      <c r="I64" s="68"/>
      <c r="J64" s="68"/>
      <c r="K64" s="68"/>
      <c r="L64" s="68"/>
      <c r="M64" s="70"/>
      <c r="N64" s="9"/>
      <c r="O64" s="6"/>
    </row>
    <row r="65" spans="1:15" ht="15.75">
      <c r="A65" s="28"/>
      <c r="B65" s="29" t="s">
        <v>41</v>
      </c>
      <c r="C65" s="65">
        <v>79997</v>
      </c>
      <c r="D65" s="65"/>
      <c r="E65" s="66">
        <v>61753</v>
      </c>
      <c r="F65" s="65"/>
      <c r="G65" s="65">
        <f>11365+619</f>
        <v>11984</v>
      </c>
      <c r="H65" s="65"/>
      <c r="I65" s="65">
        <v>6594</v>
      </c>
      <c r="J65" s="65"/>
      <c r="K65" s="65"/>
      <c r="L65" s="65"/>
      <c r="M65" s="66">
        <f>E65-G65+I65-K65</f>
        <v>56363</v>
      </c>
      <c r="N65" s="29"/>
      <c r="O65" s="6"/>
    </row>
    <row r="66" spans="1:15" ht="15.75">
      <c r="A66" s="28"/>
      <c r="B66" s="29" t="s">
        <v>42</v>
      </c>
      <c r="C66" s="65">
        <v>611</v>
      </c>
      <c r="D66" s="65"/>
      <c r="E66" s="66">
        <v>0</v>
      </c>
      <c r="F66" s="65"/>
      <c r="G66" s="65">
        <v>37</v>
      </c>
      <c r="H66" s="65"/>
      <c r="I66" s="65">
        <v>37</v>
      </c>
      <c r="J66" s="65"/>
      <c r="K66" s="65"/>
      <c r="L66" s="65"/>
      <c r="M66" s="66">
        <f>E66-G66+I66-K66</f>
        <v>0</v>
      </c>
      <c r="N66" s="29"/>
      <c r="O66" s="6"/>
    </row>
    <row r="67" spans="1:15" ht="15.75">
      <c r="A67" s="28"/>
      <c r="B67" s="65"/>
      <c r="C67" s="65"/>
      <c r="D67" s="65"/>
      <c r="E67" s="66"/>
      <c r="F67" s="65"/>
      <c r="G67" s="65"/>
      <c r="H67" s="65"/>
      <c r="I67" s="65"/>
      <c r="J67" s="65"/>
      <c r="K67" s="65"/>
      <c r="L67" s="65"/>
      <c r="M67" s="66"/>
      <c r="N67" s="29"/>
      <c r="O67" s="6"/>
    </row>
    <row r="68" spans="1:15" ht="15.75">
      <c r="A68" s="28"/>
      <c r="B68" s="29" t="s">
        <v>43</v>
      </c>
      <c r="C68" s="65">
        <f>SUM(C65:C67)</f>
        <v>80608</v>
      </c>
      <c r="D68" s="65"/>
      <c r="E68" s="65">
        <f>E65</f>
        <v>61753</v>
      </c>
      <c r="F68" s="65"/>
      <c r="G68" s="65">
        <f>SUM(G65:G67)</f>
        <v>12021</v>
      </c>
      <c r="H68" s="65"/>
      <c r="I68" s="65">
        <f>SUM(I65:I67)</f>
        <v>6631</v>
      </c>
      <c r="J68" s="65"/>
      <c r="K68" s="65">
        <f>SUM(K65:K67)</f>
        <v>0</v>
      </c>
      <c r="L68" s="65"/>
      <c r="M68" s="65">
        <f>SUM(M65:M67)</f>
        <v>56363</v>
      </c>
      <c r="N68" s="29"/>
      <c r="O68" s="6"/>
    </row>
    <row r="69" spans="1:15" ht="15.75">
      <c r="A69" s="28"/>
      <c r="B69" s="29"/>
      <c r="C69" s="65"/>
      <c r="D69" s="65"/>
      <c r="E69" s="67"/>
      <c r="F69" s="65"/>
      <c r="G69" s="65"/>
      <c r="H69" s="65"/>
      <c r="I69" s="65"/>
      <c r="J69" s="65"/>
      <c r="K69" s="65"/>
      <c r="L69" s="65"/>
      <c r="M69" s="67"/>
      <c r="N69" s="29"/>
      <c r="O69" s="6"/>
    </row>
    <row r="70" spans="1:15" ht="15.75">
      <c r="A70" s="28"/>
      <c r="B70" s="29" t="s">
        <v>45</v>
      </c>
      <c r="C70" s="65">
        <v>0</v>
      </c>
      <c r="D70" s="65"/>
      <c r="E70" s="65">
        <v>0</v>
      </c>
      <c r="F70" s="65"/>
      <c r="G70" s="65"/>
      <c r="H70" s="65"/>
      <c r="I70" s="65"/>
      <c r="J70" s="65"/>
      <c r="K70" s="65"/>
      <c r="L70" s="65"/>
      <c r="M70" s="65">
        <f>E70+G70</f>
        <v>0</v>
      </c>
      <c r="N70" s="29"/>
      <c r="O70" s="6"/>
    </row>
    <row r="71" spans="1:16" ht="15.75">
      <c r="A71" s="28"/>
      <c r="B71" s="29" t="s">
        <v>46</v>
      </c>
      <c r="C71" s="65">
        <v>0</v>
      </c>
      <c r="D71" s="65"/>
      <c r="E71" s="67">
        <v>2926</v>
      </c>
      <c r="F71" s="65"/>
      <c r="G71" s="65"/>
      <c r="H71" s="65"/>
      <c r="I71" s="65">
        <v>0</v>
      </c>
      <c r="J71" s="65"/>
      <c r="K71" s="65"/>
      <c r="L71" s="65"/>
      <c r="M71" s="67">
        <f>E71+I71</f>
        <v>2926</v>
      </c>
      <c r="N71" s="29"/>
      <c r="O71" s="6"/>
      <c r="P71" s="143"/>
    </row>
    <row r="72" spans="1:18" ht="15.75">
      <c r="A72" s="28"/>
      <c r="B72" s="29" t="s">
        <v>47</v>
      </c>
      <c r="C72" s="65">
        <v>40958</v>
      </c>
      <c r="D72" s="65"/>
      <c r="E72" s="67">
        <v>18490</v>
      </c>
      <c r="F72" s="65"/>
      <c r="G72" s="65">
        <f>G68+G61</f>
        <v>32137</v>
      </c>
      <c r="H72" s="65"/>
      <c r="I72" s="65">
        <f>-I68-I61</f>
        <v>-30192</v>
      </c>
      <c r="J72" s="65"/>
      <c r="K72" s="65"/>
      <c r="L72" s="65"/>
      <c r="M72" s="67">
        <f>E72+G88+I72</f>
        <v>19784</v>
      </c>
      <c r="N72" s="29"/>
      <c r="O72" s="6"/>
      <c r="P72" s="131"/>
      <c r="R72" s="132"/>
    </row>
    <row r="73" spans="1:16" ht="15.75">
      <c r="A73" s="28"/>
      <c r="B73" s="29" t="s">
        <v>48</v>
      </c>
      <c r="C73" s="65">
        <v>0</v>
      </c>
      <c r="D73" s="65"/>
      <c r="E73" s="67">
        <v>8692</v>
      </c>
      <c r="F73" s="65"/>
      <c r="G73" s="65"/>
      <c r="H73" s="65"/>
      <c r="I73" s="65">
        <v>-651</v>
      </c>
      <c r="J73" s="65"/>
      <c r="K73" s="65"/>
      <c r="L73" s="65"/>
      <c r="M73" s="67">
        <f>-I73+E73</f>
        <v>9343</v>
      </c>
      <c r="N73" s="29"/>
      <c r="O73" s="6"/>
      <c r="P73" s="132"/>
    </row>
    <row r="74" spans="1:20" ht="15.75">
      <c r="A74" s="28"/>
      <c r="B74" s="29" t="s">
        <v>49</v>
      </c>
      <c r="C74" s="65">
        <v>-95</v>
      </c>
      <c r="D74" s="65"/>
      <c r="E74" s="67">
        <v>-95</v>
      </c>
      <c r="F74" s="65"/>
      <c r="G74" s="65">
        <v>0</v>
      </c>
      <c r="H74" s="65"/>
      <c r="I74" s="65"/>
      <c r="J74" s="65"/>
      <c r="K74" s="65"/>
      <c r="L74" s="65"/>
      <c r="M74" s="67">
        <f>E74+G74</f>
        <v>-95</v>
      </c>
      <c r="N74" s="29"/>
      <c r="O74" s="6"/>
      <c r="P74" s="131"/>
      <c r="R74" s="131"/>
      <c r="T74" s="131"/>
    </row>
    <row r="75" spans="1:16" ht="15.75">
      <c r="A75" s="28"/>
      <c r="B75" s="29" t="s">
        <v>50</v>
      </c>
      <c r="C75" s="65">
        <v>0</v>
      </c>
      <c r="D75" s="65"/>
      <c r="E75" s="67">
        <v>0</v>
      </c>
      <c r="F75" s="65"/>
      <c r="G75" s="65"/>
      <c r="H75" s="65"/>
      <c r="I75" s="141"/>
      <c r="J75" s="65"/>
      <c r="K75" s="65"/>
      <c r="L75" s="65"/>
      <c r="M75" s="67">
        <v>0</v>
      </c>
      <c r="N75" s="29"/>
      <c r="O75" s="6"/>
      <c r="P75" s="132"/>
    </row>
    <row r="76" spans="1:20" ht="15.75">
      <c r="A76" s="28"/>
      <c r="B76" s="29" t="s">
        <v>19</v>
      </c>
      <c r="C76" s="67">
        <f>SUM(C68:C74)+C61</f>
        <v>194998</v>
      </c>
      <c r="D76" s="67"/>
      <c r="E76" s="67">
        <f>SUM(E68:E75)+E61</f>
        <v>197924</v>
      </c>
      <c r="F76" s="65"/>
      <c r="G76" s="65">
        <f>G72-G74</f>
        <v>32137</v>
      </c>
      <c r="H76" s="65"/>
      <c r="I76" s="65"/>
      <c r="J76" s="65"/>
      <c r="K76" s="65"/>
      <c r="L76" s="65"/>
      <c r="M76" s="67">
        <f>SUM(M68:M75)+M61</f>
        <v>197924</v>
      </c>
      <c r="N76" s="29"/>
      <c r="O76" s="6"/>
      <c r="P76" s="132"/>
      <c r="R76" s="131"/>
      <c r="T76" s="131"/>
    </row>
    <row r="77" spans="1:16" ht="15.75">
      <c r="A77" s="28"/>
      <c r="B77" s="65"/>
      <c r="C77" s="65"/>
      <c r="D77" s="65"/>
      <c r="E77" s="65"/>
      <c r="F77" s="65"/>
      <c r="G77" s="65"/>
      <c r="H77" s="65"/>
      <c r="I77" s="65"/>
      <c r="J77" s="65"/>
      <c r="K77" s="65"/>
      <c r="L77" s="65"/>
      <c r="M77" s="65"/>
      <c r="N77" s="29"/>
      <c r="O77" s="6"/>
      <c r="P77" s="132"/>
    </row>
    <row r="78" spans="1:16" ht="15.75">
      <c r="A78" s="7"/>
      <c r="B78" s="68"/>
      <c r="C78" s="9"/>
      <c r="D78" s="9"/>
      <c r="E78" s="9"/>
      <c r="F78" s="9"/>
      <c r="G78" s="20" t="s">
        <v>192</v>
      </c>
      <c r="H78" s="9"/>
      <c r="I78" s="9"/>
      <c r="J78" s="9"/>
      <c r="K78" s="23"/>
      <c r="L78" s="9"/>
      <c r="M78" s="20" t="s">
        <v>192</v>
      </c>
      <c r="N78" s="9"/>
      <c r="O78" s="6"/>
      <c r="P78" s="132"/>
    </row>
    <row r="79" spans="1:19" ht="15.75">
      <c r="A79" s="7"/>
      <c r="B79" s="63" t="s">
        <v>51</v>
      </c>
      <c r="C79" s="17"/>
      <c r="D79" s="17" t="s">
        <v>178</v>
      </c>
      <c r="E79" s="17" t="s">
        <v>181</v>
      </c>
      <c r="F79" s="17"/>
      <c r="G79" s="20" t="s">
        <v>193</v>
      </c>
      <c r="H79" s="17"/>
      <c r="I79" s="17" t="s">
        <v>178</v>
      </c>
      <c r="J79" s="20"/>
      <c r="K79" s="20" t="s">
        <v>181</v>
      </c>
      <c r="L79" s="20"/>
      <c r="M79" s="20" t="s">
        <v>223</v>
      </c>
      <c r="N79" s="17"/>
      <c r="O79" s="6"/>
      <c r="P79" s="131"/>
      <c r="R79" s="132"/>
      <c r="S79" s="131"/>
    </row>
    <row r="80" spans="1:15" ht="15.75">
      <c r="A80" s="28"/>
      <c r="B80" s="29" t="s">
        <v>52</v>
      </c>
      <c r="C80" s="29"/>
      <c r="D80" s="29">
        <v>0</v>
      </c>
      <c r="E80" s="29">
        <v>0</v>
      </c>
      <c r="F80" s="29"/>
      <c r="G80" s="65">
        <f>SUM(C80:E80)</f>
        <v>0</v>
      </c>
      <c r="H80" s="29"/>
      <c r="I80" s="29">
        <v>0</v>
      </c>
      <c r="J80" s="29"/>
      <c r="K80" s="65">
        <f>SUM(G80:I80)</f>
        <v>0</v>
      </c>
      <c r="L80" s="29"/>
      <c r="M80" s="66">
        <v>0</v>
      </c>
      <c r="N80" s="29"/>
      <c r="O80" s="6"/>
    </row>
    <row r="81" spans="1:15" ht="15.75">
      <c r="A81" s="28"/>
      <c r="B81" s="29" t="s">
        <v>53</v>
      </c>
      <c r="C81" s="53"/>
      <c r="D81" s="29">
        <f>19933+56</f>
        <v>19989</v>
      </c>
      <c r="E81" s="29">
        <v>11365</v>
      </c>
      <c r="F81" s="29"/>
      <c r="G81" s="65">
        <f>E81+D81</f>
        <v>31354</v>
      </c>
      <c r="H81" s="29"/>
      <c r="I81" s="29"/>
      <c r="J81" s="29"/>
      <c r="K81" s="65">
        <v>0</v>
      </c>
      <c r="L81" s="29"/>
      <c r="M81" s="66"/>
      <c r="N81" s="29"/>
      <c r="O81" s="6"/>
    </row>
    <row r="82" spans="1:15" ht="15.75">
      <c r="A82" s="28"/>
      <c r="B82" s="29" t="s">
        <v>54</v>
      </c>
      <c r="C82" s="29"/>
      <c r="D82" s="29"/>
      <c r="E82" s="29"/>
      <c r="F82" s="29"/>
      <c r="G82" s="65"/>
      <c r="H82" s="29"/>
      <c r="I82" s="29">
        <f>1663+283+1678+378+1576+525+34-2282</f>
        <v>3855</v>
      </c>
      <c r="J82" s="29"/>
      <c r="K82" s="65">
        <f>2394+157+2756+203+2499+176+4-5853+44+55+60</f>
        <v>2495</v>
      </c>
      <c r="L82" s="29"/>
      <c r="M82" s="66">
        <f>K82+I82</f>
        <v>6350</v>
      </c>
      <c r="N82" s="29"/>
      <c r="O82" s="6"/>
    </row>
    <row r="83" spans="1:15" ht="15.75">
      <c r="A83" s="28"/>
      <c r="B83" s="29" t="s">
        <v>55</v>
      </c>
      <c r="C83" s="29"/>
      <c r="D83" s="29"/>
      <c r="E83" s="29"/>
      <c r="F83" s="29"/>
      <c r="G83" s="65"/>
      <c r="H83" s="29"/>
      <c r="I83" s="29"/>
      <c r="J83" s="29"/>
      <c r="K83" s="65"/>
      <c r="L83" s="29"/>
      <c r="M83" s="66">
        <f>145+56+129</f>
        <v>330</v>
      </c>
      <c r="N83" s="29"/>
      <c r="O83" s="6"/>
    </row>
    <row r="84" spans="1:20" ht="15.75">
      <c r="A84" s="28"/>
      <c r="B84" s="29" t="s">
        <v>56</v>
      </c>
      <c r="C84" s="29"/>
      <c r="D84" s="29"/>
      <c r="E84" s="29"/>
      <c r="F84" s="29"/>
      <c r="G84" s="65"/>
      <c r="H84" s="29"/>
      <c r="I84" s="29"/>
      <c r="J84" s="29"/>
      <c r="K84" s="65"/>
      <c r="L84" s="29"/>
      <c r="M84" s="66">
        <v>0</v>
      </c>
      <c r="N84" s="29"/>
      <c r="O84" s="6"/>
      <c r="P84" s="132"/>
      <c r="R84" s="132"/>
      <c r="T84" s="132"/>
    </row>
    <row r="85" spans="1:20" ht="15.75">
      <c r="A85" s="28"/>
      <c r="B85" s="29" t="s">
        <v>57</v>
      </c>
      <c r="C85" s="29"/>
      <c r="D85" s="29"/>
      <c r="E85" s="29"/>
      <c r="F85" s="29"/>
      <c r="G85" s="65"/>
      <c r="H85" s="29"/>
      <c r="I85" s="29"/>
      <c r="J85" s="29"/>
      <c r="K85" s="65"/>
      <c r="L85" s="29"/>
      <c r="M85" s="66">
        <v>0</v>
      </c>
      <c r="N85" s="29"/>
      <c r="O85" s="6"/>
      <c r="P85" s="132"/>
      <c r="R85" s="132"/>
      <c r="T85" s="132"/>
    </row>
    <row r="86" spans="1:15" ht="15.75">
      <c r="A86" s="28"/>
      <c r="B86" s="29" t="s">
        <v>58</v>
      </c>
      <c r="C86" s="29"/>
      <c r="D86" s="65">
        <f>SUM(D80:D85)</f>
        <v>19989</v>
      </c>
      <c r="E86" s="65">
        <f>SUM(E80:E85)</f>
        <v>11365</v>
      </c>
      <c r="F86" s="29"/>
      <c r="G86" s="65">
        <f>SUM(G80:G85)</f>
        <v>31354</v>
      </c>
      <c r="H86" s="29"/>
      <c r="I86" s="65">
        <f>SUM(I80:I85)</f>
        <v>3855</v>
      </c>
      <c r="J86" s="29"/>
      <c r="K86" s="65">
        <f>SUM(K80:K85)</f>
        <v>2495</v>
      </c>
      <c r="L86" s="29"/>
      <c r="M86" s="67">
        <f>SUM(M80:M85)</f>
        <v>6680</v>
      </c>
      <c r="N86" s="29"/>
      <c r="O86" s="6"/>
    </row>
    <row r="87" spans="1:20" ht="15.75">
      <c r="A87" s="28"/>
      <c r="B87" s="29" t="s">
        <v>59</v>
      </c>
      <c r="C87" s="29"/>
      <c r="D87" s="65">
        <f>G59</f>
        <v>95</v>
      </c>
      <c r="E87" s="65">
        <f>G66</f>
        <v>37</v>
      </c>
      <c r="F87" s="29"/>
      <c r="G87" s="65">
        <f>E87+D87</f>
        <v>132</v>
      </c>
      <c r="H87" s="29"/>
      <c r="I87" s="65">
        <v>0</v>
      </c>
      <c r="J87" s="29"/>
      <c r="K87" s="65">
        <v>0</v>
      </c>
      <c r="L87" s="29"/>
      <c r="M87" s="66">
        <f>-G87</f>
        <v>-132</v>
      </c>
      <c r="N87" s="29"/>
      <c r="O87" s="6"/>
      <c r="P87" s="132"/>
      <c r="R87" s="132"/>
      <c r="T87" s="132"/>
    </row>
    <row r="88" spans="1:15" ht="15.75">
      <c r="A88" s="28"/>
      <c r="B88" s="29" t="s">
        <v>60</v>
      </c>
      <c r="C88" s="29"/>
      <c r="D88" s="65">
        <f>D86+D87</f>
        <v>20084</v>
      </c>
      <c r="E88" s="65">
        <f>E86+E87</f>
        <v>11402</v>
      </c>
      <c r="F88" s="29"/>
      <c r="G88" s="65">
        <f>G86+G87</f>
        <v>31486</v>
      </c>
      <c r="H88" s="29"/>
      <c r="I88" s="65">
        <f>I86+I87</f>
        <v>3855</v>
      </c>
      <c r="J88" s="29"/>
      <c r="K88" s="65">
        <f>K86+K87</f>
        <v>2495</v>
      </c>
      <c r="L88" s="29"/>
      <c r="M88" s="67">
        <f>M86+M87</f>
        <v>6548</v>
      </c>
      <c r="N88" s="29"/>
      <c r="O88" s="6"/>
    </row>
    <row r="89" spans="1:15" ht="15.75">
      <c r="A89" s="28"/>
      <c r="B89" s="157" t="s">
        <v>61</v>
      </c>
      <c r="C89" s="72"/>
      <c r="D89" s="72"/>
      <c r="E89" s="29"/>
      <c r="F89" s="29"/>
      <c r="G89" s="29"/>
      <c r="H89" s="29"/>
      <c r="I89" s="29"/>
      <c r="J89" s="29"/>
      <c r="K89" s="65"/>
      <c r="L89" s="29"/>
      <c r="M89" s="66"/>
      <c r="N89" s="29"/>
      <c r="O89" s="6"/>
    </row>
    <row r="90" spans="1:15" ht="15.75">
      <c r="A90" s="28">
        <v>1</v>
      </c>
      <c r="B90" s="29" t="s">
        <v>62</v>
      </c>
      <c r="C90" s="29"/>
      <c r="D90" s="29"/>
      <c r="E90" s="29"/>
      <c r="F90" s="29"/>
      <c r="G90" s="29"/>
      <c r="H90" s="29"/>
      <c r="I90" s="29"/>
      <c r="J90" s="29"/>
      <c r="K90" s="29"/>
      <c r="L90" s="29"/>
      <c r="M90" s="66">
        <v>-4</v>
      </c>
      <c r="N90" s="29"/>
      <c r="O90" s="6"/>
    </row>
    <row r="91" spans="1:15" ht="15.75">
      <c r="A91" s="28">
        <v>2</v>
      </c>
      <c r="B91" s="29" t="s">
        <v>63</v>
      </c>
      <c r="C91" s="29"/>
      <c r="D91" s="29"/>
      <c r="E91" s="29"/>
      <c r="F91" s="29"/>
      <c r="G91" s="29"/>
      <c r="H91" s="29"/>
      <c r="I91" s="29"/>
      <c r="J91" s="29"/>
      <c r="K91" s="29"/>
      <c r="L91" s="29"/>
      <c r="M91" s="66">
        <f>-214-53</f>
        <v>-267</v>
      </c>
      <c r="N91" s="29"/>
      <c r="O91" s="6"/>
    </row>
    <row r="92" spans="1:15" ht="15.75">
      <c r="A92" s="28">
        <v>3</v>
      </c>
      <c r="B92" s="29" t="s">
        <v>64</v>
      </c>
      <c r="C92" s="29"/>
      <c r="D92" s="29"/>
      <c r="E92" s="29"/>
      <c r="F92" s="29"/>
      <c r="G92" s="29"/>
      <c r="H92" s="29"/>
      <c r="I92" s="29"/>
      <c r="J92" s="29"/>
      <c r="K92" s="29"/>
      <c r="L92" s="29"/>
      <c r="M92" s="66">
        <v>-2048</v>
      </c>
      <c r="N92" s="29"/>
      <c r="O92" s="6"/>
    </row>
    <row r="93" spans="1:15" ht="15.75">
      <c r="A93" s="28">
        <v>4</v>
      </c>
      <c r="B93" s="29" t="s">
        <v>227</v>
      </c>
      <c r="C93" s="29"/>
      <c r="D93" s="29"/>
      <c r="E93" s="29"/>
      <c r="F93" s="29"/>
      <c r="G93" s="29"/>
      <c r="H93" s="29"/>
      <c r="I93" s="29"/>
      <c r="J93" s="29"/>
      <c r="K93" s="29"/>
      <c r="L93" s="29"/>
      <c r="M93" s="66">
        <v>19</v>
      </c>
      <c r="N93" s="29"/>
      <c r="O93" s="6"/>
    </row>
    <row r="94" spans="1:15" ht="15.75">
      <c r="A94" s="28">
        <v>4</v>
      </c>
      <c r="B94" s="29" t="s">
        <v>65</v>
      </c>
      <c r="C94" s="29"/>
      <c r="D94" s="29"/>
      <c r="E94" s="29"/>
      <c r="F94" s="29"/>
      <c r="G94" s="29"/>
      <c r="H94" s="29"/>
      <c r="I94" s="29"/>
      <c r="J94" s="29"/>
      <c r="K94" s="29"/>
      <c r="L94" s="29"/>
      <c r="M94" s="66">
        <v>-5</v>
      </c>
      <c r="N94" s="29"/>
      <c r="O94" s="6"/>
    </row>
    <row r="95" spans="1:15" ht="15.75">
      <c r="A95" s="28">
        <v>5</v>
      </c>
      <c r="B95" s="29" t="s">
        <v>66</v>
      </c>
      <c r="C95" s="29"/>
      <c r="D95" s="29"/>
      <c r="E95" s="29"/>
      <c r="F95" s="29"/>
      <c r="G95" s="29"/>
      <c r="H95" s="29"/>
      <c r="I95" s="29"/>
      <c r="J95" s="29"/>
      <c r="K95" s="29"/>
      <c r="L95" s="29"/>
      <c r="M95" s="66">
        <v>-218</v>
      </c>
      <c r="N95" s="29"/>
      <c r="O95" s="6"/>
    </row>
    <row r="96" spans="1:15" ht="15.75">
      <c r="A96" s="28">
        <v>6</v>
      </c>
      <c r="B96" s="29" t="s">
        <v>67</v>
      </c>
      <c r="C96" s="29"/>
      <c r="D96" s="29"/>
      <c r="E96" s="29"/>
      <c r="F96" s="29"/>
      <c r="G96" s="29"/>
      <c r="H96" s="29"/>
      <c r="I96" s="29"/>
      <c r="J96" s="29"/>
      <c r="K96" s="29"/>
      <c r="L96" s="29"/>
      <c r="M96" s="66">
        <v>-153</v>
      </c>
      <c r="N96" s="29"/>
      <c r="O96" s="6"/>
    </row>
    <row r="97" spans="1:15" ht="15.75">
      <c r="A97" s="28">
        <v>7</v>
      </c>
      <c r="B97" s="29" t="s">
        <v>68</v>
      </c>
      <c r="C97" s="29"/>
      <c r="D97" s="29"/>
      <c r="E97" s="29"/>
      <c r="F97" s="29"/>
      <c r="G97" s="29"/>
      <c r="H97" s="29"/>
      <c r="I97" s="29"/>
      <c r="J97" s="29"/>
      <c r="K97" s="29"/>
      <c r="L97" s="29"/>
      <c r="M97" s="66">
        <v>0</v>
      </c>
      <c r="N97" s="29"/>
      <c r="O97" s="6"/>
    </row>
    <row r="98" spans="1:15" ht="15.75">
      <c r="A98" s="28">
        <v>8</v>
      </c>
      <c r="B98" s="29" t="s">
        <v>69</v>
      </c>
      <c r="C98" s="29"/>
      <c r="D98" s="29"/>
      <c r="E98" s="29"/>
      <c r="F98" s="29"/>
      <c r="G98" s="29"/>
      <c r="H98" s="29"/>
      <c r="I98" s="29"/>
      <c r="J98" s="29"/>
      <c r="K98" s="65">
        <f>-M98</f>
        <v>651</v>
      </c>
      <c r="L98" s="29"/>
      <c r="M98" s="66">
        <f>I73</f>
        <v>-651</v>
      </c>
      <c r="N98" s="29"/>
      <c r="O98" s="6"/>
    </row>
    <row r="99" spans="1:15" ht="15.75">
      <c r="A99" s="28">
        <v>9</v>
      </c>
      <c r="B99" s="29" t="s">
        <v>46</v>
      </c>
      <c r="C99" s="29"/>
      <c r="D99" s="29"/>
      <c r="E99" s="29"/>
      <c r="F99" s="29"/>
      <c r="G99" s="29"/>
      <c r="H99" s="29"/>
      <c r="I99" s="29"/>
      <c r="J99" s="29"/>
      <c r="K99" s="65">
        <f>-M99</f>
        <v>0</v>
      </c>
      <c r="L99" s="29"/>
      <c r="M99" s="66">
        <v>0</v>
      </c>
      <c r="N99" s="29"/>
      <c r="O99" s="6"/>
    </row>
    <row r="100" spans="1:15" ht="15.75">
      <c r="A100" s="28">
        <v>10</v>
      </c>
      <c r="B100" s="29" t="s">
        <v>228</v>
      </c>
      <c r="C100" s="29"/>
      <c r="D100" s="29"/>
      <c r="E100" s="29"/>
      <c r="F100" s="29"/>
      <c r="G100" s="29"/>
      <c r="H100" s="29"/>
      <c r="I100" s="29"/>
      <c r="J100" s="29"/>
      <c r="K100" s="29"/>
      <c r="L100" s="29"/>
      <c r="M100" s="66">
        <v>-153</v>
      </c>
      <c r="N100" s="29"/>
      <c r="O100" s="6"/>
    </row>
    <row r="101" spans="1:15" ht="15.75">
      <c r="A101" s="28">
        <v>11</v>
      </c>
      <c r="B101" s="29" t="s">
        <v>71</v>
      </c>
      <c r="C101" s="29"/>
      <c r="D101" s="29"/>
      <c r="E101" s="29"/>
      <c r="F101" s="29"/>
      <c r="G101" s="29"/>
      <c r="H101" s="29"/>
      <c r="I101" s="29"/>
      <c r="J101" s="29"/>
      <c r="K101" s="29"/>
      <c r="L101" s="29"/>
      <c r="M101" s="66">
        <f>SUM(M88:M100)*-1</f>
        <v>-3068</v>
      </c>
      <c r="N101" s="29"/>
      <c r="O101" s="6"/>
    </row>
    <row r="102" spans="1:16" ht="15.75">
      <c r="A102" s="28"/>
      <c r="B102" s="157" t="s">
        <v>72</v>
      </c>
      <c r="C102" s="72"/>
      <c r="D102" s="72"/>
      <c r="E102" s="29"/>
      <c r="F102" s="29"/>
      <c r="G102" s="29"/>
      <c r="H102" s="29"/>
      <c r="I102" s="29"/>
      <c r="J102" s="29"/>
      <c r="K102" s="29"/>
      <c r="L102" s="29"/>
      <c r="M102" s="73"/>
      <c r="N102" s="29"/>
      <c r="O102" s="6"/>
      <c r="P102" s="132"/>
    </row>
    <row r="103" spans="1:15" ht="15.75">
      <c r="A103" s="28"/>
      <c r="B103" s="74" t="s">
        <v>73</v>
      </c>
      <c r="C103" s="72"/>
      <c r="D103" s="72"/>
      <c r="E103" s="29"/>
      <c r="F103" s="29"/>
      <c r="G103" s="29"/>
      <c r="H103" s="29"/>
      <c r="I103" s="29"/>
      <c r="J103" s="29"/>
      <c r="K103" s="65">
        <f>E72</f>
        <v>18490</v>
      </c>
      <c r="L103" s="29"/>
      <c r="M103" s="73"/>
      <c r="N103" s="29"/>
      <c r="O103" s="6"/>
    </row>
    <row r="104" spans="1:15" ht="15.75">
      <c r="A104" s="28"/>
      <c r="B104" s="74" t="s">
        <v>74</v>
      </c>
      <c r="C104" s="72"/>
      <c r="D104" s="72"/>
      <c r="E104" s="29"/>
      <c r="F104" s="29"/>
      <c r="G104" s="29"/>
      <c r="H104" s="29"/>
      <c r="I104" s="29"/>
      <c r="J104" s="29"/>
      <c r="K104" s="65">
        <f>G88</f>
        <v>31486</v>
      </c>
      <c r="L104" s="29"/>
      <c r="M104" s="73"/>
      <c r="N104" s="29"/>
      <c r="O104" s="6"/>
    </row>
    <row r="105" spans="1:15" ht="15.75">
      <c r="A105" s="142"/>
      <c r="B105" s="29" t="s">
        <v>75</v>
      </c>
      <c r="C105" s="72"/>
      <c r="D105" s="72"/>
      <c r="E105" s="29"/>
      <c r="F105" s="29"/>
      <c r="G105" s="29"/>
      <c r="H105" s="29"/>
      <c r="I105" s="29"/>
      <c r="J105" s="29"/>
      <c r="K105" s="65">
        <f>-I68-I61</f>
        <v>-30192</v>
      </c>
      <c r="L105" s="29"/>
      <c r="M105" s="73"/>
      <c r="N105" s="29"/>
      <c r="O105" s="6"/>
    </row>
    <row r="106" spans="1:15" ht="15.75">
      <c r="A106" s="28"/>
      <c r="B106" s="29" t="s">
        <v>76</v>
      </c>
      <c r="C106" s="72"/>
      <c r="D106" s="72"/>
      <c r="E106" s="29"/>
      <c r="F106" s="29"/>
      <c r="G106" s="29"/>
      <c r="H106" s="29"/>
      <c r="I106" s="29"/>
      <c r="J106" s="29"/>
      <c r="K106" s="65">
        <v>0</v>
      </c>
      <c r="L106" s="65"/>
      <c r="M106" s="66"/>
      <c r="N106" s="29"/>
      <c r="O106" s="6"/>
    </row>
    <row r="107" spans="1:15" ht="15.75">
      <c r="A107" s="28"/>
      <c r="B107" s="29" t="s">
        <v>77</v>
      </c>
      <c r="C107" s="29"/>
      <c r="D107" s="29"/>
      <c r="E107" s="29"/>
      <c r="F107" s="29"/>
      <c r="G107" s="29"/>
      <c r="H107" s="29"/>
      <c r="I107" s="29"/>
      <c r="J107" s="29"/>
      <c r="K107" s="65">
        <v>0</v>
      </c>
      <c r="L107" s="65"/>
      <c r="M107" s="66"/>
      <c r="N107" s="29"/>
      <c r="O107" s="6"/>
    </row>
    <row r="108" spans="1:15" ht="15.75">
      <c r="A108" s="28"/>
      <c r="B108" s="29" t="s">
        <v>78</v>
      </c>
      <c r="C108" s="29"/>
      <c r="D108" s="29"/>
      <c r="E108" s="29"/>
      <c r="F108" s="29"/>
      <c r="G108" s="29"/>
      <c r="H108" s="29"/>
      <c r="I108" s="29"/>
      <c r="J108" s="29"/>
      <c r="K108" s="65">
        <v>0</v>
      </c>
      <c r="L108" s="65"/>
      <c r="M108" s="66"/>
      <c r="N108" s="29"/>
      <c r="O108" s="6"/>
    </row>
    <row r="109" spans="1:15" ht="15.75">
      <c r="A109" s="28"/>
      <c r="B109" s="29" t="s">
        <v>79</v>
      </c>
      <c r="C109" s="29"/>
      <c r="D109" s="29"/>
      <c r="E109" s="29"/>
      <c r="F109" s="29"/>
      <c r="G109" s="29"/>
      <c r="H109" s="29"/>
      <c r="I109" s="29"/>
      <c r="J109" s="29"/>
      <c r="K109" s="65">
        <v>0</v>
      </c>
      <c r="L109" s="65"/>
      <c r="M109" s="66"/>
      <c r="N109" s="29"/>
      <c r="O109" s="6"/>
    </row>
    <row r="110" spans="1:15" ht="15.75">
      <c r="A110" s="28"/>
      <c r="B110" s="29" t="s">
        <v>80</v>
      </c>
      <c r="C110" s="29"/>
      <c r="D110" s="29"/>
      <c r="E110" s="29"/>
      <c r="F110" s="29"/>
      <c r="G110" s="29"/>
      <c r="H110" s="29"/>
      <c r="I110" s="29"/>
      <c r="J110" s="29"/>
      <c r="K110" s="65">
        <v>0</v>
      </c>
      <c r="L110" s="65"/>
      <c r="M110" s="66"/>
      <c r="N110" s="29"/>
      <c r="O110" s="6"/>
    </row>
    <row r="111" spans="1:15" ht="15.75">
      <c r="A111" s="28"/>
      <c r="B111" s="29" t="s">
        <v>81</v>
      </c>
      <c r="C111" s="29"/>
      <c r="D111" s="29"/>
      <c r="E111" s="29"/>
      <c r="F111" s="29"/>
      <c r="G111" s="29"/>
      <c r="H111" s="29"/>
      <c r="I111" s="29"/>
      <c r="J111" s="29"/>
      <c r="K111" s="65">
        <v>0</v>
      </c>
      <c r="L111" s="65"/>
      <c r="M111" s="66"/>
      <c r="N111" s="29"/>
      <c r="O111" s="6"/>
    </row>
    <row r="112" spans="1:15" ht="15.75">
      <c r="A112" s="28"/>
      <c r="B112" s="29" t="s">
        <v>82</v>
      </c>
      <c r="C112" s="29"/>
      <c r="D112" s="29"/>
      <c r="E112" s="29"/>
      <c r="F112" s="29"/>
      <c r="G112" s="29"/>
      <c r="H112" s="29"/>
      <c r="I112" s="29"/>
      <c r="J112" s="29"/>
      <c r="K112" s="65">
        <f>SUM(K105:K111)</f>
        <v>-30192</v>
      </c>
      <c r="L112" s="65"/>
      <c r="M112" s="65">
        <f>SUM(M89:M101)</f>
        <v>-6548</v>
      </c>
      <c r="N112" s="29"/>
      <c r="O112" s="6"/>
    </row>
    <row r="113" spans="1:15" ht="15.75">
      <c r="A113" s="28"/>
      <c r="B113" s="29" t="s">
        <v>83</v>
      </c>
      <c r="C113" s="29"/>
      <c r="D113" s="29"/>
      <c r="E113" s="29"/>
      <c r="F113" s="29"/>
      <c r="G113" s="29"/>
      <c r="H113" s="29"/>
      <c r="I113" s="29"/>
      <c r="J113" s="29"/>
      <c r="K113" s="65">
        <f>SUM(K103:K111)+SUM(K98:K99)</f>
        <v>20435</v>
      </c>
      <c r="L113" s="65"/>
      <c r="M113" s="65">
        <f>M88+M112</f>
        <v>0</v>
      </c>
      <c r="N113" s="29"/>
      <c r="O113" s="6"/>
    </row>
    <row r="114" spans="1:15" ht="15.75">
      <c r="A114" s="28"/>
      <c r="B114" s="29"/>
      <c r="C114" s="29"/>
      <c r="D114" s="29"/>
      <c r="E114" s="29"/>
      <c r="F114" s="29"/>
      <c r="G114" s="29"/>
      <c r="H114" s="29"/>
      <c r="I114" s="29"/>
      <c r="J114" s="29"/>
      <c r="K114" s="65"/>
      <c r="L114" s="65"/>
      <c r="M114" s="65"/>
      <c r="N114" s="29"/>
      <c r="O114" s="6"/>
    </row>
    <row r="115" spans="1:15" ht="15.75">
      <c r="A115" s="7"/>
      <c r="B115" s="14"/>
      <c r="C115" s="9"/>
      <c r="D115" s="9"/>
      <c r="E115" s="9"/>
      <c r="F115" s="9"/>
      <c r="G115" s="9"/>
      <c r="H115" s="9"/>
      <c r="I115" s="9"/>
      <c r="J115" s="9"/>
      <c r="K115" s="68"/>
      <c r="L115" s="68"/>
      <c r="M115" s="68"/>
      <c r="N115" s="9"/>
      <c r="O115" s="6"/>
    </row>
    <row r="116" spans="1:15" ht="16.5" thickBot="1">
      <c r="A116" s="134"/>
      <c r="B116" s="135" t="str">
        <f>B53</f>
        <v>PASF1 INVESTOR REPORT QUARTER ENDING JULY 2004</v>
      </c>
      <c r="C116" s="136"/>
      <c r="D116" s="136"/>
      <c r="E116" s="136"/>
      <c r="F116" s="136"/>
      <c r="G116" s="136"/>
      <c r="H116" s="136"/>
      <c r="I116" s="136"/>
      <c r="J116" s="136"/>
      <c r="K116" s="139"/>
      <c r="L116" s="139"/>
      <c r="M116" s="139"/>
      <c r="N116" s="138"/>
      <c r="O116" s="6"/>
    </row>
    <row r="117" spans="1:15" ht="15.75">
      <c r="A117" s="2"/>
      <c r="B117" s="5"/>
      <c r="C117" s="5"/>
      <c r="D117" s="5"/>
      <c r="E117" s="5"/>
      <c r="F117" s="5"/>
      <c r="G117" s="5"/>
      <c r="H117" s="5"/>
      <c r="I117" s="5"/>
      <c r="J117" s="5"/>
      <c r="K117" s="76"/>
      <c r="L117" s="76"/>
      <c r="M117" s="76"/>
      <c r="N117" s="5"/>
      <c r="O117" s="6"/>
    </row>
    <row r="118" spans="1:15" ht="15.75">
      <c r="A118" s="7"/>
      <c r="B118" s="9"/>
      <c r="C118" s="9"/>
      <c r="D118" s="9"/>
      <c r="E118" s="9"/>
      <c r="F118" s="9"/>
      <c r="G118" s="9"/>
      <c r="H118" s="9"/>
      <c r="I118" s="9"/>
      <c r="J118" s="9"/>
      <c r="K118" s="9"/>
      <c r="L118" s="9"/>
      <c r="M118" s="64"/>
      <c r="N118" s="9"/>
      <c r="O118" s="6"/>
    </row>
    <row r="119" spans="1:15" ht="15.75">
      <c r="A119" s="77"/>
      <c r="B119" s="78"/>
      <c r="C119" s="78"/>
      <c r="D119" s="78"/>
      <c r="E119" s="78"/>
      <c r="F119" s="78"/>
      <c r="G119" s="78"/>
      <c r="H119" s="78"/>
      <c r="I119" s="78"/>
      <c r="J119" s="78"/>
      <c r="K119" s="78"/>
      <c r="L119" s="78"/>
      <c r="M119" s="79"/>
      <c r="N119" s="78"/>
      <c r="O119" s="6"/>
    </row>
    <row r="120" spans="1:15" ht="15.75">
      <c r="A120" s="77"/>
      <c r="B120" s="80" t="s">
        <v>84</v>
      </c>
      <c r="C120" s="78"/>
      <c r="D120" s="78"/>
      <c r="E120" s="78"/>
      <c r="F120" s="78"/>
      <c r="G120" s="78"/>
      <c r="H120" s="78"/>
      <c r="I120" s="78"/>
      <c r="J120" s="78"/>
      <c r="K120" s="78"/>
      <c r="L120" s="78"/>
      <c r="M120" s="79"/>
      <c r="N120" s="81"/>
      <c r="O120" s="6"/>
    </row>
    <row r="121" spans="1:15" ht="15.75">
      <c r="A121" s="77"/>
      <c r="B121" s="78"/>
      <c r="C121" s="78"/>
      <c r="D121" s="78"/>
      <c r="E121" s="78"/>
      <c r="F121" s="78"/>
      <c r="G121" s="78"/>
      <c r="H121" s="78"/>
      <c r="I121" s="78"/>
      <c r="J121" s="78"/>
      <c r="K121" s="78"/>
      <c r="L121" s="78"/>
      <c r="M121" s="79"/>
      <c r="N121" s="78"/>
      <c r="O121" s="6"/>
    </row>
    <row r="122" spans="1:15" ht="15.75">
      <c r="A122" s="7"/>
      <c r="B122" s="158" t="s">
        <v>85</v>
      </c>
      <c r="C122" s="15"/>
      <c r="D122" s="15"/>
      <c r="E122" s="9"/>
      <c r="F122" s="9"/>
      <c r="G122" s="9"/>
      <c r="H122" s="9"/>
      <c r="I122" s="9"/>
      <c r="J122" s="9"/>
      <c r="K122" s="9"/>
      <c r="L122" s="9"/>
      <c r="M122" s="64"/>
      <c r="N122" s="9"/>
      <c r="O122" s="6"/>
    </row>
    <row r="123" spans="1:15" ht="15.75">
      <c r="A123" s="28"/>
      <c r="B123" s="29" t="s">
        <v>86</v>
      </c>
      <c r="C123" s="29"/>
      <c r="D123" s="29"/>
      <c r="E123" s="29"/>
      <c r="F123" s="29"/>
      <c r="G123" s="29"/>
      <c r="H123" s="29"/>
      <c r="I123" s="29"/>
      <c r="J123" s="29"/>
      <c r="K123" s="29"/>
      <c r="L123" s="29"/>
      <c r="M123" s="66">
        <v>5852</v>
      </c>
      <c r="N123" s="29"/>
      <c r="O123" s="6"/>
    </row>
    <row r="124" spans="1:15" ht="15.75">
      <c r="A124" s="28"/>
      <c r="B124" s="29" t="s">
        <v>87</v>
      </c>
      <c r="C124" s="29"/>
      <c r="D124" s="29"/>
      <c r="E124" s="29"/>
      <c r="F124" s="29"/>
      <c r="G124" s="29"/>
      <c r="H124" s="29"/>
      <c r="I124" s="29"/>
      <c r="J124" s="29"/>
      <c r="K124" s="29"/>
      <c r="L124" s="29"/>
      <c r="M124" s="66">
        <v>0</v>
      </c>
      <c r="N124" s="29"/>
      <c r="O124" s="6"/>
    </row>
    <row r="125" spans="1:15" ht="15.75">
      <c r="A125" s="28"/>
      <c r="B125" s="29" t="s">
        <v>88</v>
      </c>
      <c r="C125" s="29"/>
      <c r="D125" s="29"/>
      <c r="E125" s="29"/>
      <c r="F125" s="29"/>
      <c r="G125" s="29"/>
      <c r="H125" s="29"/>
      <c r="I125" s="29"/>
      <c r="J125" s="29"/>
      <c r="K125" s="29"/>
      <c r="L125" s="29"/>
      <c r="M125" s="66">
        <v>0</v>
      </c>
      <c r="N125" s="29"/>
      <c r="O125" s="6"/>
    </row>
    <row r="126" spans="1:15" ht="15.75">
      <c r="A126" s="28"/>
      <c r="B126" s="29" t="s">
        <v>89</v>
      </c>
      <c r="C126" s="29"/>
      <c r="D126" s="29"/>
      <c r="E126" s="29"/>
      <c r="F126" s="29"/>
      <c r="G126" s="29"/>
      <c r="H126" s="29"/>
      <c r="I126" s="29"/>
      <c r="J126" s="29"/>
      <c r="K126" s="29"/>
      <c r="L126" s="29"/>
      <c r="M126" s="66">
        <v>0</v>
      </c>
      <c r="N126" s="29"/>
      <c r="O126" s="6"/>
    </row>
    <row r="127" spans="1:15" ht="15.75">
      <c r="A127" s="28"/>
      <c r="B127" s="29" t="s">
        <v>90</v>
      </c>
      <c r="C127" s="29"/>
      <c r="D127" s="29"/>
      <c r="E127" s="29"/>
      <c r="F127" s="29"/>
      <c r="G127" s="29"/>
      <c r="H127" s="29"/>
      <c r="I127" s="29"/>
      <c r="J127" s="29"/>
      <c r="K127" s="29"/>
      <c r="L127" s="29"/>
      <c r="M127" s="66">
        <v>0</v>
      </c>
      <c r="N127" s="29"/>
      <c r="O127" s="6"/>
    </row>
    <row r="128" spans="1:15" ht="15.75">
      <c r="A128" s="28"/>
      <c r="B128" s="29" t="s">
        <v>91</v>
      </c>
      <c r="C128" s="29"/>
      <c r="D128" s="29"/>
      <c r="E128" s="29"/>
      <c r="F128" s="29"/>
      <c r="G128" s="29"/>
      <c r="H128" s="29"/>
      <c r="I128" s="29"/>
      <c r="J128" s="29"/>
      <c r="K128" s="29"/>
      <c r="L128" s="29"/>
      <c r="M128" s="66">
        <v>0</v>
      </c>
      <c r="N128" s="29"/>
      <c r="O128" s="6"/>
    </row>
    <row r="129" spans="1:15" ht="15.75">
      <c r="A129" s="28"/>
      <c r="B129" s="29" t="s">
        <v>66</v>
      </c>
      <c r="C129" s="29"/>
      <c r="D129" s="29"/>
      <c r="E129" s="29"/>
      <c r="F129" s="29"/>
      <c r="G129" s="29"/>
      <c r="H129" s="29"/>
      <c r="I129" s="29"/>
      <c r="J129" s="29"/>
      <c r="K129" s="29"/>
      <c r="L129" s="29"/>
      <c r="M129" s="66">
        <v>0</v>
      </c>
      <c r="N129" s="29"/>
      <c r="O129" s="6"/>
    </row>
    <row r="130" spans="1:15" ht="15.75">
      <c r="A130" s="28"/>
      <c r="B130" s="29" t="s">
        <v>67</v>
      </c>
      <c r="C130" s="29"/>
      <c r="D130" s="29"/>
      <c r="E130" s="29"/>
      <c r="F130" s="29"/>
      <c r="G130" s="29"/>
      <c r="H130" s="29"/>
      <c r="I130" s="29"/>
      <c r="J130" s="29"/>
      <c r="K130" s="29"/>
      <c r="L130" s="29"/>
      <c r="M130" s="66">
        <v>0</v>
      </c>
      <c r="N130" s="29"/>
      <c r="O130" s="6"/>
    </row>
    <row r="131" spans="1:15" ht="15.75">
      <c r="A131" s="28"/>
      <c r="B131" s="29" t="s">
        <v>92</v>
      </c>
      <c r="C131" s="29"/>
      <c r="D131" s="29"/>
      <c r="E131" s="29"/>
      <c r="F131" s="29"/>
      <c r="G131" s="29"/>
      <c r="H131" s="29"/>
      <c r="I131" s="29"/>
      <c r="J131" s="29"/>
      <c r="K131" s="29"/>
      <c r="L131" s="29"/>
      <c r="M131" s="66">
        <f>M123+M126</f>
        <v>5852</v>
      </c>
      <c r="N131" s="29"/>
      <c r="O131" s="6"/>
    </row>
    <row r="132" spans="1:15" ht="15.75">
      <c r="A132" s="28"/>
      <c r="B132" s="29"/>
      <c r="C132" s="29"/>
      <c r="D132" s="29"/>
      <c r="E132" s="29"/>
      <c r="F132" s="29"/>
      <c r="G132" s="29"/>
      <c r="H132" s="29"/>
      <c r="I132" s="29"/>
      <c r="J132" s="29"/>
      <c r="K132" s="29"/>
      <c r="L132" s="29"/>
      <c r="M132" s="82"/>
      <c r="N132" s="29"/>
      <c r="O132" s="6"/>
    </row>
    <row r="133" spans="1:15" ht="15.75">
      <c r="A133" s="7"/>
      <c r="B133" s="158" t="s">
        <v>50</v>
      </c>
      <c r="C133" s="9"/>
      <c r="D133" s="9"/>
      <c r="E133" s="9"/>
      <c r="F133" s="9"/>
      <c r="G133" s="9"/>
      <c r="H133" s="9"/>
      <c r="I133" s="9"/>
      <c r="J133" s="9"/>
      <c r="K133" s="9"/>
      <c r="L133" s="9"/>
      <c r="M133" s="64"/>
      <c r="N133" s="9"/>
      <c r="O133" s="6"/>
    </row>
    <row r="134" spans="1:15" ht="15.75">
      <c r="A134" s="28"/>
      <c r="B134" s="29" t="s">
        <v>93</v>
      </c>
      <c r="C134" s="83"/>
      <c r="D134" s="83"/>
      <c r="E134" s="29"/>
      <c r="F134" s="29"/>
      <c r="G134" s="29"/>
      <c r="H134" s="29"/>
      <c r="I134" s="29"/>
      <c r="J134" s="29"/>
      <c r="K134" s="29"/>
      <c r="L134" s="29"/>
      <c r="M134" s="66">
        <v>2926</v>
      </c>
      <c r="N134" s="29"/>
      <c r="O134" s="6"/>
    </row>
    <row r="135" spans="1:15" ht="15.75">
      <c r="A135" s="28"/>
      <c r="B135" s="29" t="s">
        <v>94</v>
      </c>
      <c r="C135" s="29"/>
      <c r="D135" s="29"/>
      <c r="E135" s="29"/>
      <c r="F135" s="29"/>
      <c r="G135" s="29"/>
      <c r="H135" s="29"/>
      <c r="I135" s="29"/>
      <c r="J135" s="29"/>
      <c r="K135" s="29"/>
      <c r="L135" s="29"/>
      <c r="M135" s="66">
        <v>2926</v>
      </c>
      <c r="N135" s="29"/>
      <c r="O135" s="6"/>
    </row>
    <row r="136" spans="1:15" ht="15.75">
      <c r="A136" s="28"/>
      <c r="B136" s="29" t="s">
        <v>95</v>
      </c>
      <c r="C136" s="29"/>
      <c r="D136" s="29"/>
      <c r="E136" s="29"/>
      <c r="F136" s="29"/>
      <c r="G136" s="29"/>
      <c r="H136" s="29"/>
      <c r="I136" s="29"/>
      <c r="J136" s="29"/>
      <c r="K136" s="29"/>
      <c r="L136" s="29"/>
      <c r="M136" s="66">
        <f>-M99</f>
        <v>0</v>
      </c>
      <c r="N136" s="29"/>
      <c r="O136" s="6"/>
    </row>
    <row r="137" spans="1:15" ht="15.75">
      <c r="A137" s="28"/>
      <c r="B137" s="29" t="s">
        <v>96</v>
      </c>
      <c r="C137" s="29"/>
      <c r="D137" s="29"/>
      <c r="E137" s="29"/>
      <c r="F137" s="29"/>
      <c r="G137" s="29"/>
      <c r="H137" s="29"/>
      <c r="I137" s="29"/>
      <c r="J137" s="29"/>
      <c r="K137" s="29"/>
      <c r="L137" s="29"/>
      <c r="M137" s="66">
        <f>M134-M135-M136</f>
        <v>0</v>
      </c>
      <c r="N137" s="29"/>
      <c r="O137" s="6"/>
    </row>
    <row r="138" spans="1:15" ht="15.75">
      <c r="A138" s="28"/>
      <c r="B138" s="29"/>
      <c r="C138" s="29"/>
      <c r="D138" s="29"/>
      <c r="E138" s="29"/>
      <c r="F138" s="29"/>
      <c r="G138" s="29"/>
      <c r="H138" s="29"/>
      <c r="I138" s="29"/>
      <c r="J138" s="29"/>
      <c r="K138" s="29"/>
      <c r="L138" s="29"/>
      <c r="M138" s="84"/>
      <c r="N138" s="29"/>
      <c r="O138" s="6"/>
    </row>
    <row r="139" spans="1:15" ht="15.75">
      <c r="A139" s="7"/>
      <c r="B139" s="158" t="s">
        <v>97</v>
      </c>
      <c r="C139" s="15"/>
      <c r="D139" s="15"/>
      <c r="E139" s="9"/>
      <c r="F139" s="9"/>
      <c r="G139" s="17" t="s">
        <v>178</v>
      </c>
      <c r="H139" s="17"/>
      <c r="I139" s="17" t="s">
        <v>181</v>
      </c>
      <c r="J139" s="9"/>
      <c r="K139" s="9"/>
      <c r="L139" s="9"/>
      <c r="M139" s="85"/>
      <c r="N139" s="9"/>
      <c r="O139" s="6"/>
    </row>
    <row r="140" spans="1:15" ht="15.75">
      <c r="A140" s="7"/>
      <c r="B140" s="15"/>
      <c r="C140" s="15"/>
      <c r="D140" s="15"/>
      <c r="E140" s="9"/>
      <c r="F140" s="9"/>
      <c r="G140" s="9"/>
      <c r="H140" s="9"/>
      <c r="I140" s="9"/>
      <c r="J140" s="9"/>
      <c r="K140" s="9"/>
      <c r="L140" s="9"/>
      <c r="M140" s="85"/>
      <c r="N140" s="9"/>
      <c r="O140" s="6"/>
    </row>
    <row r="141" spans="1:15" ht="15.75">
      <c r="A141" s="28"/>
      <c r="B141" s="29" t="s">
        <v>98</v>
      </c>
      <c r="C141" s="29"/>
      <c r="D141" s="29"/>
      <c r="E141" s="29"/>
      <c r="F141" s="29"/>
      <c r="G141" s="29">
        <v>0</v>
      </c>
      <c r="H141" s="29"/>
      <c r="I141" s="29">
        <v>0</v>
      </c>
      <c r="J141" s="29"/>
      <c r="K141" s="29"/>
      <c r="L141" s="29"/>
      <c r="M141" s="66">
        <v>0</v>
      </c>
      <c r="N141" s="29"/>
      <c r="O141" s="6"/>
    </row>
    <row r="142" spans="1:15" ht="15.75">
      <c r="A142" s="28"/>
      <c r="B142" s="29" t="s">
        <v>99</v>
      </c>
      <c r="C142" s="29"/>
      <c r="D142" s="29"/>
      <c r="E142" s="29"/>
      <c r="F142" s="29"/>
      <c r="G142" s="29">
        <v>32</v>
      </c>
      <c r="H142" s="29"/>
      <c r="I142" s="29">
        <v>619</v>
      </c>
      <c r="J142" s="29"/>
      <c r="K142" s="29"/>
      <c r="L142" s="29"/>
      <c r="M142" s="66">
        <f>SUM(G142:I142)</f>
        <v>651</v>
      </c>
      <c r="N142" s="29"/>
      <c r="O142" s="6"/>
    </row>
    <row r="143" spans="1:15" ht="15.75">
      <c r="A143" s="28"/>
      <c r="B143" s="29" t="s">
        <v>100</v>
      </c>
      <c r="C143" s="29"/>
      <c r="D143" s="29"/>
      <c r="E143" s="29"/>
      <c r="F143" s="29"/>
      <c r="G143" s="29"/>
      <c r="H143" s="29"/>
      <c r="I143" s="86"/>
      <c r="J143" s="29"/>
      <c r="K143" s="29"/>
      <c r="L143" s="29"/>
      <c r="M143" s="66">
        <f>M98</f>
        <v>-651</v>
      </c>
      <c r="N143" s="29"/>
      <c r="O143" s="6"/>
    </row>
    <row r="144" spans="1:15" ht="15.75">
      <c r="A144" s="28"/>
      <c r="B144" s="29" t="s">
        <v>101</v>
      </c>
      <c r="C144" s="29"/>
      <c r="D144" s="29"/>
      <c r="E144" s="29"/>
      <c r="F144" s="29"/>
      <c r="G144" s="29"/>
      <c r="H144" s="29"/>
      <c r="I144" s="29"/>
      <c r="J144" s="29"/>
      <c r="K144" s="29"/>
      <c r="L144" s="29"/>
      <c r="M144" s="66">
        <f>M143+M142</f>
        <v>0</v>
      </c>
      <c r="N144" s="29"/>
      <c r="O144" s="6"/>
    </row>
    <row r="145" spans="1:15" ht="15.75">
      <c r="A145" s="28"/>
      <c r="B145" s="29"/>
      <c r="C145" s="29"/>
      <c r="D145" s="29"/>
      <c r="E145" s="29"/>
      <c r="F145" s="29"/>
      <c r="G145" s="29"/>
      <c r="H145" s="29"/>
      <c r="I145" s="29"/>
      <c r="J145" s="29"/>
      <c r="K145" s="29"/>
      <c r="L145" s="29"/>
      <c r="M145" s="82"/>
      <c r="N145" s="29"/>
      <c r="O145" s="6"/>
    </row>
    <row r="146" spans="1:15" ht="15.75">
      <c r="A146" s="7"/>
      <c r="B146" s="9"/>
      <c r="C146" s="9"/>
      <c r="D146" s="9"/>
      <c r="E146" s="9"/>
      <c r="F146" s="9"/>
      <c r="G146" s="9"/>
      <c r="H146" s="9"/>
      <c r="I146" s="9"/>
      <c r="J146" s="9"/>
      <c r="K146" s="9"/>
      <c r="L146" s="9"/>
      <c r="M146" s="64"/>
      <c r="N146" s="9"/>
      <c r="O146" s="6"/>
    </row>
    <row r="147" spans="1:15" ht="15.75">
      <c r="A147" s="7"/>
      <c r="B147" s="158" t="s">
        <v>102</v>
      </c>
      <c r="C147" s="15"/>
      <c r="D147" s="15"/>
      <c r="E147" s="9"/>
      <c r="F147" s="9"/>
      <c r="G147" s="9"/>
      <c r="H147" s="9"/>
      <c r="I147" s="9"/>
      <c r="J147" s="9"/>
      <c r="K147" s="9"/>
      <c r="L147" s="9"/>
      <c r="M147" s="64"/>
      <c r="N147" s="9"/>
      <c r="O147" s="6"/>
    </row>
    <row r="148" spans="1:18" ht="15.75">
      <c r="A148" s="28"/>
      <c r="B148" s="29" t="s">
        <v>103</v>
      </c>
      <c r="C148" s="87"/>
      <c r="D148" s="87"/>
      <c r="E148" s="29"/>
      <c r="F148" s="29"/>
      <c r="G148" s="29"/>
      <c r="H148" s="29"/>
      <c r="I148" s="29"/>
      <c r="J148" s="29"/>
      <c r="K148" s="29"/>
      <c r="L148" s="29"/>
      <c r="M148" s="66">
        <f>M68+M61</f>
        <v>165966</v>
      </c>
      <c r="N148" s="29"/>
      <c r="O148" s="6"/>
      <c r="R148" s="132"/>
    </row>
    <row r="149" spans="1:15" ht="15.75">
      <c r="A149" s="28"/>
      <c r="B149" s="29" t="s">
        <v>104</v>
      </c>
      <c r="C149" s="87"/>
      <c r="D149" s="87"/>
      <c r="E149" s="29"/>
      <c r="F149" s="29"/>
      <c r="G149" s="29"/>
      <c r="H149" s="29"/>
      <c r="I149" s="29"/>
      <c r="J149" s="29"/>
      <c r="K149" s="29"/>
      <c r="L149" s="29"/>
      <c r="M149" s="66">
        <f>M72</f>
        <v>19784</v>
      </c>
      <c r="N149" s="29"/>
      <c r="O149" s="6"/>
    </row>
    <row r="150" spans="1:15" ht="15.75">
      <c r="A150" s="28"/>
      <c r="B150" s="29" t="s">
        <v>50</v>
      </c>
      <c r="C150" s="87"/>
      <c r="D150" s="87"/>
      <c r="E150" s="29"/>
      <c r="F150" s="29"/>
      <c r="G150" s="29"/>
      <c r="H150" s="29"/>
      <c r="I150" s="29"/>
      <c r="J150" s="29"/>
      <c r="K150" s="29"/>
      <c r="L150" s="29"/>
      <c r="M150" s="66">
        <f>M71</f>
        <v>2926</v>
      </c>
      <c r="N150" s="29"/>
      <c r="O150" s="6"/>
    </row>
    <row r="151" spans="1:16" ht="15.75">
      <c r="A151" s="28"/>
      <c r="B151" s="29" t="s">
        <v>105</v>
      </c>
      <c r="C151" s="87"/>
      <c r="D151" s="87"/>
      <c r="E151" s="29"/>
      <c r="F151" s="29"/>
      <c r="G151" s="29"/>
      <c r="H151" s="29"/>
      <c r="I151" s="29"/>
      <c r="J151" s="29"/>
      <c r="K151" s="29"/>
      <c r="L151" s="29"/>
      <c r="M151" s="66">
        <f>M74</f>
        <v>-95</v>
      </c>
      <c r="N151" s="29"/>
      <c r="O151" s="6"/>
      <c r="P151" s="132"/>
    </row>
    <row r="152" spans="1:15" ht="15.75">
      <c r="A152" s="28"/>
      <c r="B152" s="29" t="s">
        <v>106</v>
      </c>
      <c r="C152" s="87"/>
      <c r="D152" s="87"/>
      <c r="E152" s="29"/>
      <c r="F152" s="29"/>
      <c r="G152" s="29"/>
      <c r="H152" s="29"/>
      <c r="I152" s="29"/>
      <c r="J152" s="29"/>
      <c r="K152" s="29"/>
      <c r="L152" s="29"/>
      <c r="M152" s="66">
        <f>M73</f>
        <v>9343</v>
      </c>
      <c r="N152" s="29"/>
      <c r="O152" s="6"/>
    </row>
    <row r="153" spans="1:15" ht="15.75">
      <c r="A153" s="28"/>
      <c r="B153" s="29" t="s">
        <v>107</v>
      </c>
      <c r="C153" s="87"/>
      <c r="D153" s="87"/>
      <c r="E153" s="29"/>
      <c r="F153" s="29"/>
      <c r="G153" s="29"/>
      <c r="H153" s="29"/>
      <c r="I153" s="29"/>
      <c r="J153" s="29"/>
      <c r="K153" s="29"/>
      <c r="L153" s="29"/>
      <c r="M153" s="66">
        <f>SUM(M148:M152)</f>
        <v>197924</v>
      </c>
      <c r="N153" s="29"/>
      <c r="O153" s="133"/>
    </row>
    <row r="154" spans="1:19" ht="15.75">
      <c r="A154" s="28"/>
      <c r="B154" s="29" t="s">
        <v>108</v>
      </c>
      <c r="C154" s="87"/>
      <c r="D154" s="87"/>
      <c r="E154" s="29"/>
      <c r="F154" s="29"/>
      <c r="G154" s="29"/>
      <c r="H154" s="29"/>
      <c r="I154" s="29"/>
      <c r="J154" s="29"/>
      <c r="K154" s="29"/>
      <c r="L154" s="29"/>
      <c r="M154" s="66">
        <f>M30</f>
        <v>194998</v>
      </c>
      <c r="N154" s="29"/>
      <c r="O154" s="6"/>
      <c r="P154" s="132"/>
      <c r="R154" s="132"/>
      <c r="S154" s="132"/>
    </row>
    <row r="155" spans="1:15" ht="15.75">
      <c r="A155" s="28"/>
      <c r="B155" s="29"/>
      <c r="C155" s="29"/>
      <c r="D155" s="29"/>
      <c r="E155" s="29"/>
      <c r="F155" s="29"/>
      <c r="G155" s="29"/>
      <c r="H155" s="29"/>
      <c r="I155" s="29"/>
      <c r="J155" s="29"/>
      <c r="K155" s="29"/>
      <c r="L155" s="29"/>
      <c r="M155" s="82"/>
      <c r="N155" s="29"/>
      <c r="O155" s="6"/>
    </row>
    <row r="156" spans="1:15" ht="15.75">
      <c r="A156" s="7"/>
      <c r="B156" s="9"/>
      <c r="C156" s="9"/>
      <c r="D156" s="9"/>
      <c r="E156" s="9"/>
      <c r="F156" s="9"/>
      <c r="G156" s="9"/>
      <c r="H156" s="9"/>
      <c r="I156" s="25"/>
      <c r="J156" s="9"/>
      <c r="K156" s="25"/>
      <c r="L156" s="9"/>
      <c r="M156" s="64"/>
      <c r="N156" s="9"/>
      <c r="O156" s="6"/>
    </row>
    <row r="157" spans="1:15" ht="15.75">
      <c r="A157" s="7"/>
      <c r="B157" s="158" t="s">
        <v>109</v>
      </c>
      <c r="C157" s="144"/>
      <c r="D157" s="144"/>
      <c r="E157" s="144"/>
      <c r="F157" s="144"/>
      <c r="G157" s="144"/>
      <c r="H157" s="144"/>
      <c r="I157" s="159" t="s">
        <v>205</v>
      </c>
      <c r="J157" s="159"/>
      <c r="K157" s="159" t="s">
        <v>210</v>
      </c>
      <c r="L157" s="144"/>
      <c r="M157" s="160" t="s">
        <v>192</v>
      </c>
      <c r="N157" s="161"/>
      <c r="O157" s="6"/>
    </row>
    <row r="158" spans="1:15" ht="15.75">
      <c r="A158" s="28"/>
      <c r="B158" s="29" t="s">
        <v>110</v>
      </c>
      <c r="C158" s="29"/>
      <c r="D158" s="29"/>
      <c r="E158" s="29"/>
      <c r="F158" s="29"/>
      <c r="G158" s="29"/>
      <c r="H158" s="29"/>
      <c r="I158" s="66"/>
      <c r="J158" s="29"/>
      <c r="K158" s="53"/>
      <c r="L158" s="29"/>
      <c r="M158" s="66"/>
      <c r="N158" s="29"/>
      <c r="O158" s="6"/>
    </row>
    <row r="159" spans="1:15" ht="15.75">
      <c r="A159" s="28"/>
      <c r="B159" s="29" t="s">
        <v>111</v>
      </c>
      <c r="C159" s="29"/>
      <c r="D159" s="29"/>
      <c r="E159" s="29"/>
      <c r="F159" s="29"/>
      <c r="G159" s="29"/>
      <c r="H159" s="29"/>
      <c r="I159" s="66">
        <f>'April 2004'!I161</f>
        <v>418</v>
      </c>
      <c r="J159" s="29"/>
      <c r="K159" s="29"/>
      <c r="L159" s="29"/>
      <c r="M159" s="66" t="s">
        <v>224</v>
      </c>
      <c r="N159" s="29"/>
      <c r="O159" s="6"/>
    </row>
    <row r="160" spans="1:15" ht="15.75">
      <c r="A160" s="28"/>
      <c r="B160" s="29" t="s">
        <v>112</v>
      </c>
      <c r="C160" s="29"/>
      <c r="D160" s="29"/>
      <c r="E160" s="29"/>
      <c r="F160" s="29"/>
      <c r="G160" s="29"/>
      <c r="H160" s="29"/>
      <c r="I160" s="66">
        <v>622</v>
      </c>
      <c r="J160" s="29"/>
      <c r="K160" s="29"/>
      <c r="L160" s="29"/>
      <c r="M160" s="66" t="s">
        <v>224</v>
      </c>
      <c r="N160" s="29"/>
      <c r="O160" s="6"/>
    </row>
    <row r="161" spans="1:15" ht="15.75">
      <c r="A161" s="28"/>
      <c r="B161" s="29" t="s">
        <v>113</v>
      </c>
      <c r="C161" s="29"/>
      <c r="D161" s="29"/>
      <c r="E161" s="29"/>
      <c r="F161" s="29"/>
      <c r="G161" s="29"/>
      <c r="H161" s="29"/>
      <c r="I161" s="66">
        <f>SUM(I159:I160)</f>
        <v>1040</v>
      </c>
      <c r="J161" s="29"/>
      <c r="K161" s="66"/>
      <c r="L161" s="29"/>
      <c r="M161" s="66" t="s">
        <v>224</v>
      </c>
      <c r="N161" s="29"/>
      <c r="O161" s="6"/>
    </row>
    <row r="162" spans="1:15" ht="15.75">
      <c r="A162" s="28"/>
      <c r="B162" s="29" t="s">
        <v>114</v>
      </c>
      <c r="C162" s="29"/>
      <c r="D162" s="29"/>
      <c r="E162" s="29"/>
      <c r="F162" s="29"/>
      <c r="G162" s="29"/>
      <c r="H162" s="29"/>
      <c r="I162" s="66"/>
      <c r="J162" s="29"/>
      <c r="K162" s="53"/>
      <c r="L162" s="29"/>
      <c r="M162" s="66"/>
      <c r="N162" s="29"/>
      <c r="O162" s="6"/>
    </row>
    <row r="163" spans="1:15" ht="15.75">
      <c r="A163" s="28"/>
      <c r="B163" s="29"/>
      <c r="C163" s="29"/>
      <c r="D163" s="29"/>
      <c r="E163" s="29"/>
      <c r="F163" s="29"/>
      <c r="G163" s="29"/>
      <c r="H163" s="29"/>
      <c r="I163" s="29"/>
      <c r="J163" s="29"/>
      <c r="K163" s="29"/>
      <c r="L163" s="29"/>
      <c r="M163" s="82"/>
      <c r="N163" s="29"/>
      <c r="O163" s="6"/>
    </row>
    <row r="164" spans="1:15" ht="15.75">
      <c r="A164" s="7"/>
      <c r="B164" s="9"/>
      <c r="C164" s="9"/>
      <c r="D164" s="9"/>
      <c r="E164" s="9"/>
      <c r="F164" s="9"/>
      <c r="G164" s="9"/>
      <c r="H164" s="9"/>
      <c r="I164" s="9"/>
      <c r="J164" s="9"/>
      <c r="K164" s="9"/>
      <c r="L164" s="9"/>
      <c r="M164" s="64"/>
      <c r="N164" s="9"/>
      <c r="O164" s="6"/>
    </row>
    <row r="165" spans="1:15" ht="15.75">
      <c r="A165" s="7"/>
      <c r="B165" s="158" t="s">
        <v>115</v>
      </c>
      <c r="C165" s="15"/>
      <c r="D165" s="15"/>
      <c r="E165" s="9"/>
      <c r="F165" s="9"/>
      <c r="G165" s="9"/>
      <c r="H165" s="9"/>
      <c r="I165" s="9"/>
      <c r="J165" s="9"/>
      <c r="K165" s="9"/>
      <c r="L165" s="9"/>
      <c r="M165" s="88"/>
      <c r="N165" s="9"/>
      <c r="O165" s="6"/>
    </row>
    <row r="166" spans="1:15" ht="15.75">
      <c r="A166" s="28"/>
      <c r="B166" s="29" t="s">
        <v>116</v>
      </c>
      <c r="C166" s="29"/>
      <c r="D166" s="29"/>
      <c r="E166" s="29"/>
      <c r="F166" s="29"/>
      <c r="G166" s="29"/>
      <c r="H166" s="29"/>
      <c r="I166" s="29"/>
      <c r="J166" s="29"/>
      <c r="K166" s="29"/>
      <c r="L166" s="29"/>
      <c r="M166" s="73">
        <f>(M88+M90+M91+M93)/-M92</f>
        <v>3.07421875</v>
      </c>
      <c r="N166" s="29" t="s">
        <v>225</v>
      </c>
      <c r="O166" s="6"/>
    </row>
    <row r="167" spans="1:15" ht="15.75">
      <c r="A167" s="28"/>
      <c r="B167" s="29" t="s">
        <v>117</v>
      </c>
      <c r="C167" s="29"/>
      <c r="D167" s="29"/>
      <c r="E167" s="29"/>
      <c r="F167" s="29"/>
      <c r="G167" s="29"/>
      <c r="H167" s="29"/>
      <c r="I167" s="29"/>
      <c r="J167" s="29"/>
      <c r="K167" s="29"/>
      <c r="L167" s="29"/>
      <c r="M167" s="89">
        <v>3.03</v>
      </c>
      <c r="N167" s="29" t="s">
        <v>225</v>
      </c>
      <c r="O167" s="6"/>
    </row>
    <row r="168" spans="1:15" ht="15.75">
      <c r="A168" s="28"/>
      <c r="B168" s="29" t="s">
        <v>118</v>
      </c>
      <c r="C168" s="29"/>
      <c r="D168" s="29"/>
      <c r="E168" s="29"/>
      <c r="F168" s="29"/>
      <c r="G168" s="29"/>
      <c r="H168" s="29"/>
      <c r="I168" s="29"/>
      <c r="J168" s="29"/>
      <c r="K168" s="29"/>
      <c r="L168" s="29"/>
      <c r="M168" s="73">
        <f>(M88+M90+M91+M92+M93+M94)/-M95</f>
        <v>19.46330275229358</v>
      </c>
      <c r="N168" s="29" t="s">
        <v>225</v>
      </c>
      <c r="O168" s="6"/>
    </row>
    <row r="169" spans="1:15" ht="15.75">
      <c r="A169" s="28"/>
      <c r="B169" s="29" t="s">
        <v>119</v>
      </c>
      <c r="C169" s="29"/>
      <c r="D169" s="29"/>
      <c r="E169" s="29"/>
      <c r="F169" s="29"/>
      <c r="G169" s="29"/>
      <c r="H169" s="29"/>
      <c r="I169" s="29"/>
      <c r="J169" s="29"/>
      <c r="K169" s="29"/>
      <c r="L169" s="29"/>
      <c r="M169" s="90">
        <v>18.96</v>
      </c>
      <c r="N169" s="29" t="s">
        <v>225</v>
      </c>
      <c r="O169" s="6"/>
    </row>
    <row r="170" spans="1:15" ht="15.75">
      <c r="A170" s="28"/>
      <c r="B170" s="29" t="s">
        <v>120</v>
      </c>
      <c r="C170" s="29"/>
      <c r="D170" s="29"/>
      <c r="E170" s="29"/>
      <c r="F170" s="29"/>
      <c r="G170" s="29"/>
      <c r="H170" s="29"/>
      <c r="I170" s="29"/>
      <c r="J170" s="29"/>
      <c r="K170" s="29"/>
      <c r="L170" s="29"/>
      <c r="M170" s="73">
        <f>(M88+M90+M91+M92+M93+M94+M95)/-M96</f>
        <v>26.30718954248366</v>
      </c>
      <c r="N170" s="29" t="s">
        <v>225</v>
      </c>
      <c r="O170" s="6"/>
    </row>
    <row r="171" spans="1:15" ht="15.75">
      <c r="A171" s="28"/>
      <c r="B171" s="29" t="s">
        <v>121</v>
      </c>
      <c r="C171" s="29"/>
      <c r="D171" s="29"/>
      <c r="E171" s="29"/>
      <c r="F171" s="29"/>
      <c r="G171" s="29"/>
      <c r="H171" s="29"/>
      <c r="I171" s="29"/>
      <c r="J171" s="29"/>
      <c r="K171" s="29"/>
      <c r="L171" s="29"/>
      <c r="M171" s="89">
        <v>25.59</v>
      </c>
      <c r="N171" s="29" t="s">
        <v>225</v>
      </c>
      <c r="O171" s="6"/>
    </row>
    <row r="172" spans="1:15" ht="15.75">
      <c r="A172" s="28"/>
      <c r="B172" s="29"/>
      <c r="C172" s="29"/>
      <c r="D172" s="29"/>
      <c r="E172" s="29"/>
      <c r="F172" s="29"/>
      <c r="G172" s="29"/>
      <c r="H172" s="29"/>
      <c r="I172" s="29"/>
      <c r="J172" s="29"/>
      <c r="K172" s="29"/>
      <c r="L172" s="29"/>
      <c r="M172" s="29"/>
      <c r="N172" s="29"/>
      <c r="O172" s="6"/>
    </row>
    <row r="173" spans="1:15" ht="15.75">
      <c r="A173" s="7"/>
      <c r="B173" s="9"/>
      <c r="C173" s="9"/>
      <c r="D173" s="9"/>
      <c r="E173" s="9"/>
      <c r="F173" s="9"/>
      <c r="G173" s="9"/>
      <c r="H173" s="9"/>
      <c r="I173" s="9"/>
      <c r="J173" s="9"/>
      <c r="K173" s="9"/>
      <c r="L173" s="9"/>
      <c r="M173" s="9"/>
      <c r="N173" s="9"/>
      <c r="O173" s="6"/>
    </row>
    <row r="174" spans="1:15" ht="16.5" thickBot="1">
      <c r="A174" s="134"/>
      <c r="B174" s="135" t="str">
        <f>B116</f>
        <v>PASF1 INVESTOR REPORT QUARTER ENDING JULY 2004</v>
      </c>
      <c r="C174" s="136"/>
      <c r="D174" s="136"/>
      <c r="E174" s="136"/>
      <c r="F174" s="136"/>
      <c r="G174" s="136"/>
      <c r="H174" s="136"/>
      <c r="I174" s="136"/>
      <c r="J174" s="136"/>
      <c r="K174" s="136"/>
      <c r="L174" s="136"/>
      <c r="M174" s="136"/>
      <c r="N174" s="138"/>
      <c r="O174" s="6"/>
    </row>
    <row r="175" spans="1:15" ht="15.75">
      <c r="A175" s="2"/>
      <c r="B175" s="91"/>
      <c r="C175" s="91"/>
      <c r="D175" s="91"/>
      <c r="E175" s="91"/>
      <c r="F175" s="91"/>
      <c r="G175" s="91"/>
      <c r="H175" s="91"/>
      <c r="I175" s="91"/>
      <c r="J175" s="91"/>
      <c r="K175" s="91"/>
      <c r="L175" s="91"/>
      <c r="M175" s="91"/>
      <c r="N175" s="91"/>
      <c r="O175" s="6"/>
    </row>
    <row r="176" spans="1:15" ht="15.75">
      <c r="A176" s="92"/>
      <c r="B176" s="63" t="s">
        <v>122</v>
      </c>
      <c r="C176" s="93"/>
      <c r="D176" s="93"/>
      <c r="E176" s="93" t="s">
        <v>178</v>
      </c>
      <c r="F176" s="93"/>
      <c r="G176" s="94" t="s">
        <v>181</v>
      </c>
      <c r="H176" s="94"/>
      <c r="I176" s="94"/>
      <c r="J176" s="22"/>
      <c r="K176" s="22">
        <v>38198</v>
      </c>
      <c r="L176" s="18"/>
      <c r="M176" s="18"/>
      <c r="N176" s="9"/>
      <c r="O176" s="6"/>
    </row>
    <row r="177" spans="1:15" ht="15.75">
      <c r="A177" s="95"/>
      <c r="B177" s="74" t="s">
        <v>123</v>
      </c>
      <c r="C177" s="96"/>
      <c r="D177" s="96"/>
      <c r="E177" s="97">
        <v>0.12505</v>
      </c>
      <c r="F177" s="96"/>
      <c r="G177" s="97">
        <v>0.13752</v>
      </c>
      <c r="H177" s="86"/>
      <c r="I177" s="86"/>
      <c r="J177" s="86"/>
      <c r="K177" s="97">
        <v>0.13157</v>
      </c>
      <c r="L177" s="29"/>
      <c r="M177" s="29"/>
      <c r="N177" s="29"/>
      <c r="O177" s="6"/>
    </row>
    <row r="178" spans="1:15" ht="15.75">
      <c r="A178" s="95"/>
      <c r="B178" s="74" t="s">
        <v>124</v>
      </c>
      <c r="C178" s="96"/>
      <c r="D178" s="96"/>
      <c r="E178" s="97"/>
      <c r="F178" s="96"/>
      <c r="G178" s="97"/>
      <c r="H178" s="86"/>
      <c r="I178" s="86"/>
      <c r="J178" s="86"/>
      <c r="K178" s="97">
        <v>0.0654</v>
      </c>
      <c r="L178" s="97"/>
      <c r="M178" s="29"/>
      <c r="N178" s="29"/>
      <c r="O178" s="6"/>
    </row>
    <row r="179" spans="1:15" ht="15.75">
      <c r="A179" s="95"/>
      <c r="B179" s="74" t="s">
        <v>125</v>
      </c>
      <c r="C179" s="96"/>
      <c r="D179" s="96"/>
      <c r="E179" s="96"/>
      <c r="F179" s="96"/>
      <c r="G179" s="96"/>
      <c r="H179" s="86"/>
      <c r="I179" s="86"/>
      <c r="J179" s="86"/>
      <c r="K179" s="97">
        <f>K177-K178</f>
        <v>0.06616999999999999</v>
      </c>
      <c r="L179" s="29"/>
      <c r="M179" s="29"/>
      <c r="N179" s="29"/>
      <c r="O179" s="6"/>
    </row>
    <row r="180" spans="1:15" ht="15.75">
      <c r="A180" s="95"/>
      <c r="B180" s="74" t="s">
        <v>126</v>
      </c>
      <c r="C180" s="96"/>
      <c r="D180" s="96"/>
      <c r="E180" s="98">
        <v>0.0939</v>
      </c>
      <c r="F180" s="98"/>
      <c r="G180" s="98">
        <v>0.1034</v>
      </c>
      <c r="H180" s="86"/>
      <c r="I180" s="86"/>
      <c r="J180" s="86"/>
      <c r="K180" s="97">
        <v>0.0971</v>
      </c>
      <c r="L180" s="29"/>
      <c r="M180" s="29"/>
      <c r="N180" s="29"/>
      <c r="O180" s="6"/>
    </row>
    <row r="181" spans="1:15" ht="15.75">
      <c r="A181" s="95"/>
      <c r="B181" s="74" t="s">
        <v>127</v>
      </c>
      <c r="C181" s="96"/>
      <c r="D181" s="96"/>
      <c r="E181" s="96"/>
      <c r="F181" s="96"/>
      <c r="G181" s="96"/>
      <c r="H181" s="86"/>
      <c r="I181" s="86"/>
      <c r="J181" s="86"/>
      <c r="K181" s="97">
        <f>M32</f>
        <v>0.04976766998841013</v>
      </c>
      <c r="L181" s="29"/>
      <c r="M181" s="29"/>
      <c r="N181" s="29"/>
      <c r="O181" s="6"/>
    </row>
    <row r="182" spans="1:15" ht="15.75">
      <c r="A182" s="95"/>
      <c r="B182" s="74" t="s">
        <v>128</v>
      </c>
      <c r="C182" s="96"/>
      <c r="D182" s="96"/>
      <c r="E182" s="96"/>
      <c r="F182" s="96"/>
      <c r="G182" s="96"/>
      <c r="H182" s="86"/>
      <c r="I182" s="86"/>
      <c r="J182" s="86"/>
      <c r="K182" s="97">
        <f>K180-K181</f>
        <v>0.047332330011589874</v>
      </c>
      <c r="L182" s="29"/>
      <c r="M182" s="29"/>
      <c r="N182" s="29"/>
      <c r="O182" s="6"/>
    </row>
    <row r="183" spans="1:15" ht="15.75">
      <c r="A183" s="95"/>
      <c r="B183" s="74" t="s">
        <v>129</v>
      </c>
      <c r="C183" s="96"/>
      <c r="D183" s="96"/>
      <c r="E183" s="96"/>
      <c r="F183" s="96"/>
      <c r="G183" s="96"/>
      <c r="H183" s="86"/>
      <c r="I183" s="86"/>
      <c r="J183" s="86"/>
      <c r="K183" s="97" t="s">
        <v>211</v>
      </c>
      <c r="L183" s="29"/>
      <c r="M183" s="29"/>
      <c r="N183" s="29"/>
      <c r="O183" s="6"/>
    </row>
    <row r="184" spans="1:15" ht="15.75">
      <c r="A184" s="95"/>
      <c r="B184" s="74" t="s">
        <v>130</v>
      </c>
      <c r="C184" s="96"/>
      <c r="D184" s="96"/>
      <c r="E184" s="96"/>
      <c r="F184" s="96"/>
      <c r="G184" s="96"/>
      <c r="H184" s="86"/>
      <c r="I184" s="86"/>
      <c r="J184" s="86"/>
      <c r="K184" s="97" t="s">
        <v>212</v>
      </c>
      <c r="L184" s="29"/>
      <c r="M184" s="29"/>
      <c r="N184" s="29"/>
      <c r="O184" s="6"/>
    </row>
    <row r="185" spans="1:15" ht="15.75">
      <c r="A185" s="95"/>
      <c r="B185" s="74" t="s">
        <v>131</v>
      </c>
      <c r="C185" s="96"/>
      <c r="D185" s="96"/>
      <c r="E185" s="99">
        <v>9.94</v>
      </c>
      <c r="F185" s="96"/>
      <c r="G185" s="99">
        <v>3.91</v>
      </c>
      <c r="H185" s="86"/>
      <c r="I185" s="86"/>
      <c r="J185" s="86"/>
      <c r="K185" s="100">
        <v>6.791</v>
      </c>
      <c r="L185" s="29"/>
      <c r="M185" s="29"/>
      <c r="N185" s="29"/>
      <c r="O185" s="6"/>
    </row>
    <row r="186" spans="1:15" ht="15.75">
      <c r="A186" s="95"/>
      <c r="B186" s="74" t="s">
        <v>132</v>
      </c>
      <c r="C186" s="96"/>
      <c r="D186" s="96"/>
      <c r="E186" s="101">
        <v>14.413</v>
      </c>
      <c r="F186" s="99"/>
      <c r="G186" s="99">
        <v>2.54</v>
      </c>
      <c r="H186" s="86"/>
      <c r="I186" s="86"/>
      <c r="J186" s="86"/>
      <c r="K186" s="100">
        <v>10.38</v>
      </c>
      <c r="L186" s="29"/>
      <c r="M186" s="29"/>
      <c r="N186" s="29"/>
      <c r="O186" s="6"/>
    </row>
    <row r="187" spans="1:15" ht="15.75">
      <c r="A187" s="95"/>
      <c r="B187" s="74" t="s">
        <v>231</v>
      </c>
      <c r="C187" s="96"/>
      <c r="D187" s="96"/>
      <c r="E187" s="101"/>
      <c r="F187" s="99"/>
      <c r="G187" s="99"/>
      <c r="H187" s="86"/>
      <c r="I187" s="86"/>
      <c r="J187" s="86"/>
      <c r="K187" s="97">
        <v>0.0345</v>
      </c>
      <c r="L187" s="29"/>
      <c r="M187" s="29"/>
      <c r="N187" s="29"/>
      <c r="O187" s="6"/>
    </row>
    <row r="188" spans="1:15" ht="15.75">
      <c r="A188" s="95"/>
      <c r="B188" s="74" t="s">
        <v>232</v>
      </c>
      <c r="C188" s="96"/>
      <c r="D188" s="96"/>
      <c r="E188" s="101"/>
      <c r="F188" s="99"/>
      <c r="G188" s="99"/>
      <c r="H188" s="86"/>
      <c r="I188" s="86"/>
      <c r="J188" s="86"/>
      <c r="K188" s="97">
        <v>0.1743</v>
      </c>
      <c r="L188" s="29"/>
      <c r="M188" s="29"/>
      <c r="N188" s="29"/>
      <c r="O188" s="6"/>
    </row>
    <row r="189" spans="1:15" ht="15.75">
      <c r="A189" s="95"/>
      <c r="B189" s="74" t="s">
        <v>233</v>
      </c>
      <c r="C189" s="96"/>
      <c r="D189" s="96"/>
      <c r="E189" s="101"/>
      <c r="F189" s="99"/>
      <c r="G189" s="99"/>
      <c r="H189" s="86"/>
      <c r="I189" s="86"/>
      <c r="J189" s="86"/>
      <c r="K189" s="97">
        <v>0.1276</v>
      </c>
      <c r="L189" s="29"/>
      <c r="M189" s="29"/>
      <c r="N189" s="29"/>
      <c r="O189" s="6"/>
    </row>
    <row r="190" spans="1:15" ht="15.75">
      <c r="A190" s="95"/>
      <c r="B190" s="74" t="s">
        <v>234</v>
      </c>
      <c r="C190" s="96"/>
      <c r="D190" s="96"/>
      <c r="E190" s="101"/>
      <c r="F190" s="99"/>
      <c r="G190" s="99"/>
      <c r="H190" s="86"/>
      <c r="I190" s="86"/>
      <c r="J190" s="86"/>
      <c r="K190" s="97">
        <v>0.3443</v>
      </c>
      <c r="L190" s="29"/>
      <c r="M190" s="29"/>
      <c r="N190" s="29"/>
      <c r="O190" s="6"/>
    </row>
    <row r="191" spans="1:15" ht="15.75">
      <c r="A191" s="95"/>
      <c r="B191" s="74"/>
      <c r="C191" s="74"/>
      <c r="D191" s="74"/>
      <c r="E191" s="74"/>
      <c r="F191" s="74"/>
      <c r="G191" s="74"/>
      <c r="H191" s="29"/>
      <c r="I191" s="29"/>
      <c r="J191" s="37"/>
      <c r="K191" s="102"/>
      <c r="L191" s="29"/>
      <c r="M191" s="103"/>
      <c r="N191" s="29"/>
      <c r="O191" s="6"/>
    </row>
    <row r="192" spans="1:15" ht="15.75">
      <c r="A192" s="104"/>
      <c r="B192" s="17" t="s">
        <v>134</v>
      </c>
      <c r="C192" s="20"/>
      <c r="D192" s="20"/>
      <c r="E192" s="105"/>
      <c r="F192" s="20"/>
      <c r="G192" s="105"/>
      <c r="H192" s="20"/>
      <c r="I192" s="105"/>
      <c r="J192" s="20" t="s">
        <v>206</v>
      </c>
      <c r="K192" s="105" t="s">
        <v>213</v>
      </c>
      <c r="L192" s="18"/>
      <c r="M192" s="18"/>
      <c r="N192" s="9"/>
      <c r="O192" s="6"/>
    </row>
    <row r="193" spans="1:15" ht="15.75">
      <c r="A193" s="106"/>
      <c r="B193" s="74" t="s">
        <v>135</v>
      </c>
      <c r="C193" s="67"/>
      <c r="D193" s="67"/>
      <c r="E193" s="67"/>
      <c r="F193" s="67"/>
      <c r="G193" s="29"/>
      <c r="H193" s="29"/>
      <c r="I193" s="29"/>
      <c r="J193" s="29">
        <v>106</v>
      </c>
      <c r="K193" s="66">
        <v>684</v>
      </c>
      <c r="L193" s="66"/>
      <c r="M193" s="103"/>
      <c r="N193" s="107"/>
      <c r="O193" s="6"/>
    </row>
    <row r="194" spans="1:15" ht="15.75">
      <c r="A194" s="106"/>
      <c r="B194" s="74" t="s">
        <v>136</v>
      </c>
      <c r="C194" s="67"/>
      <c r="D194" s="67"/>
      <c r="E194" s="67"/>
      <c r="F194" s="67"/>
      <c r="G194" s="29"/>
      <c r="H194" s="29"/>
      <c r="I194" s="29"/>
      <c r="J194" s="29">
        <v>5</v>
      </c>
      <c r="K194" s="66">
        <v>24</v>
      </c>
      <c r="L194" s="66"/>
      <c r="M194" s="103"/>
      <c r="N194" s="107"/>
      <c r="O194" s="6"/>
    </row>
    <row r="195" spans="1:15" ht="15.75">
      <c r="A195" s="106"/>
      <c r="B195" s="74"/>
      <c r="C195" s="67"/>
      <c r="D195" s="67"/>
      <c r="E195" s="67"/>
      <c r="F195" s="67"/>
      <c r="G195" s="29"/>
      <c r="H195" s="29"/>
      <c r="I195" s="29"/>
      <c r="J195" s="29"/>
      <c r="K195" s="66"/>
      <c r="L195" s="66"/>
      <c r="M195" s="103"/>
      <c r="N195" s="107"/>
      <c r="O195" s="6"/>
    </row>
    <row r="196" spans="1:15" ht="15.75">
      <c r="A196" s="106"/>
      <c r="B196" s="74" t="s">
        <v>137</v>
      </c>
      <c r="C196" s="67"/>
      <c r="D196" s="67"/>
      <c r="E196" s="67"/>
      <c r="F196" s="67"/>
      <c r="G196" s="29"/>
      <c r="H196" s="29"/>
      <c r="I196" s="29"/>
      <c r="J196" s="29">
        <v>82</v>
      </c>
      <c r="K196" s="66">
        <v>1568</v>
      </c>
      <c r="L196" s="66"/>
      <c r="M196" s="103"/>
      <c r="N196" s="107"/>
      <c r="O196" s="6"/>
    </row>
    <row r="197" spans="1:15" ht="15.75">
      <c r="A197" s="106"/>
      <c r="B197" s="74" t="s">
        <v>138</v>
      </c>
      <c r="C197" s="67"/>
      <c r="D197" s="67"/>
      <c r="E197" s="67"/>
      <c r="F197" s="67"/>
      <c r="G197" s="29"/>
      <c r="H197" s="29"/>
      <c r="I197" s="29"/>
      <c r="J197" s="29">
        <v>9</v>
      </c>
      <c r="K197" s="66">
        <v>183</v>
      </c>
      <c r="L197" s="66"/>
      <c r="M197" s="103"/>
      <c r="N197" s="107"/>
      <c r="O197" s="6"/>
    </row>
    <row r="198" spans="1:15" ht="15.75">
      <c r="A198" s="106"/>
      <c r="B198" s="74"/>
      <c r="C198" s="67"/>
      <c r="D198" s="67"/>
      <c r="E198" s="67"/>
      <c r="F198" s="67"/>
      <c r="G198" s="29"/>
      <c r="H198" s="29"/>
      <c r="I198" s="29"/>
      <c r="J198" s="29"/>
      <c r="K198" s="66"/>
      <c r="L198" s="66"/>
      <c r="M198" s="103"/>
      <c r="N198" s="107"/>
      <c r="O198" s="6"/>
    </row>
    <row r="199" spans="1:15" ht="15.75">
      <c r="A199" s="106"/>
      <c r="B199" s="162" t="s">
        <v>139</v>
      </c>
      <c r="C199" s="67"/>
      <c r="D199" s="67"/>
      <c r="E199" s="67"/>
      <c r="F199" s="67"/>
      <c r="G199" s="29"/>
      <c r="H199" s="29"/>
      <c r="I199" s="29"/>
      <c r="J199" s="29"/>
      <c r="K199" s="73" t="s">
        <v>214</v>
      </c>
      <c r="L199" s="29"/>
      <c r="M199" s="103"/>
      <c r="N199" s="107"/>
      <c r="O199" s="6"/>
    </row>
    <row r="200" spans="1:15" ht="15.75">
      <c r="A200" s="106"/>
      <c r="B200" s="162" t="s">
        <v>140</v>
      </c>
      <c r="C200" s="67"/>
      <c r="D200" s="67"/>
      <c r="E200" s="67"/>
      <c r="F200" s="67"/>
      <c r="G200" s="29"/>
      <c r="H200" s="29"/>
      <c r="I200" s="29"/>
      <c r="J200" s="29"/>
      <c r="K200" s="66">
        <f>-I72</f>
        <v>30192</v>
      </c>
      <c r="L200" s="29"/>
      <c r="M200" s="103"/>
      <c r="N200" s="107"/>
      <c r="O200" s="6"/>
    </row>
    <row r="201" spans="1:15" ht="15.75">
      <c r="A201" s="108"/>
      <c r="B201" s="162" t="s">
        <v>141</v>
      </c>
      <c r="C201" s="67"/>
      <c r="D201" s="67"/>
      <c r="E201" s="74"/>
      <c r="F201" s="74"/>
      <c r="G201" s="74"/>
      <c r="H201" s="29"/>
      <c r="I201" s="29"/>
      <c r="J201" s="29"/>
      <c r="K201" s="73"/>
      <c r="L201" s="29"/>
      <c r="M201" s="103"/>
      <c r="N201" s="109"/>
      <c r="O201" s="6"/>
    </row>
    <row r="202" spans="1:15" ht="15.75">
      <c r="A202" s="108"/>
      <c r="B202" s="74" t="s">
        <v>142</v>
      </c>
      <c r="C202" s="67"/>
      <c r="D202" s="67"/>
      <c r="E202" s="74"/>
      <c r="F202" s="74"/>
      <c r="G202" s="74"/>
      <c r="H202" s="29"/>
      <c r="I202" s="29"/>
      <c r="J202" s="29"/>
      <c r="K202" s="89">
        <f>I142</f>
        <v>619</v>
      </c>
      <c r="L202" s="29"/>
      <c r="M202" s="103"/>
      <c r="N202" s="109"/>
      <c r="O202" s="6"/>
    </row>
    <row r="203" spans="1:15" ht="15.75">
      <c r="A203" s="108"/>
      <c r="B203" s="74" t="s">
        <v>143</v>
      </c>
      <c r="C203" s="67"/>
      <c r="D203" s="67"/>
      <c r="E203" s="74"/>
      <c r="F203" s="74"/>
      <c r="G203" s="74"/>
      <c r="H203" s="29"/>
      <c r="I203" s="29"/>
      <c r="J203" s="29"/>
      <c r="K203" s="89">
        <f>'April 2004'!K203+'July 2004'!K202</f>
        <v>8495</v>
      </c>
      <c r="L203" s="29"/>
      <c r="M203" s="103"/>
      <c r="N203" s="109"/>
      <c r="O203" s="6"/>
    </row>
    <row r="204" spans="1:15" ht="15.75">
      <c r="A204" s="108"/>
      <c r="B204" s="74" t="s">
        <v>144</v>
      </c>
      <c r="C204" s="67"/>
      <c r="D204" s="67"/>
      <c r="E204" s="74"/>
      <c r="F204" s="74"/>
      <c r="G204" s="74"/>
      <c r="H204" s="29"/>
      <c r="I204" s="29"/>
      <c r="J204" s="29"/>
      <c r="K204" s="89">
        <f>39+13+24+37+79+95+96+27+47+27+200+44+35+53+194+32+40+38+177+51+42+40+23+56+33</f>
        <v>1542</v>
      </c>
      <c r="L204" s="29"/>
      <c r="M204" s="103"/>
      <c r="N204" s="109"/>
      <c r="O204" s="6"/>
    </row>
    <row r="205" spans="1:15" ht="15.75">
      <c r="A205" s="108"/>
      <c r="B205" s="74"/>
      <c r="C205" s="67"/>
      <c r="D205" s="67"/>
      <c r="E205" s="74"/>
      <c r="F205" s="74"/>
      <c r="G205" s="74"/>
      <c r="H205" s="29"/>
      <c r="I205" s="29"/>
      <c r="J205" s="29"/>
      <c r="K205" s="89"/>
      <c r="L205" s="29"/>
      <c r="M205" s="103"/>
      <c r="N205" s="109"/>
      <c r="O205" s="6"/>
    </row>
    <row r="206" spans="1:15" ht="15.75">
      <c r="A206" s="106"/>
      <c r="B206" s="74" t="s">
        <v>145</v>
      </c>
      <c r="C206" s="67"/>
      <c r="D206" s="67"/>
      <c r="E206" s="67"/>
      <c r="F206" s="67"/>
      <c r="G206" s="67"/>
      <c r="H206" s="29"/>
      <c r="I206" s="29"/>
      <c r="J206" s="29"/>
      <c r="K206" s="66">
        <f>G142</f>
        <v>32</v>
      </c>
      <c r="L206" s="29"/>
      <c r="M206" s="103"/>
      <c r="N206" s="109"/>
      <c r="O206" s="6"/>
    </row>
    <row r="207" spans="1:15" ht="15.75">
      <c r="A207" s="106"/>
      <c r="B207" s="74" t="s">
        <v>146</v>
      </c>
      <c r="C207" s="67"/>
      <c r="D207" s="67"/>
      <c r="E207" s="67"/>
      <c r="F207" s="67"/>
      <c r="G207" s="67"/>
      <c r="H207" s="29"/>
      <c r="I207" s="29"/>
      <c r="J207" s="29"/>
      <c r="K207" s="66">
        <f>'April 2004'!K207+'July 2004'!K206</f>
        <v>848</v>
      </c>
      <c r="L207" s="29"/>
      <c r="M207" s="103"/>
      <c r="N207" s="109"/>
      <c r="O207" s="6"/>
    </row>
    <row r="208" spans="1:15" ht="15.75">
      <c r="A208" s="106"/>
      <c r="B208" s="74" t="s">
        <v>144</v>
      </c>
      <c r="C208" s="67"/>
      <c r="D208" s="67"/>
      <c r="E208" s="67"/>
      <c r="F208" s="67"/>
      <c r="G208" s="67"/>
      <c r="H208" s="29"/>
      <c r="I208" s="29"/>
      <c r="J208" s="29"/>
      <c r="K208" s="66"/>
      <c r="L208" s="29"/>
      <c r="M208" s="103"/>
      <c r="N208" s="109"/>
      <c r="O208" s="6"/>
    </row>
    <row r="209" spans="1:15" ht="15.75">
      <c r="A209" s="106"/>
      <c r="B209" s="74"/>
      <c r="C209" s="67"/>
      <c r="D209" s="67"/>
      <c r="E209" s="67"/>
      <c r="F209" s="67"/>
      <c r="G209" s="67"/>
      <c r="H209" s="29"/>
      <c r="I209" s="29"/>
      <c r="J209" s="29"/>
      <c r="K209" s="66"/>
      <c r="L209" s="29"/>
      <c r="M209" s="103"/>
      <c r="N209" s="109"/>
      <c r="O209" s="6"/>
    </row>
    <row r="210" spans="1:15" ht="15.75">
      <c r="A210" s="108"/>
      <c r="B210" s="162" t="s">
        <v>147</v>
      </c>
      <c r="C210" s="67"/>
      <c r="D210" s="67"/>
      <c r="E210" s="74"/>
      <c r="F210" s="74"/>
      <c r="G210" s="74"/>
      <c r="H210" s="29"/>
      <c r="I210" s="29"/>
      <c r="J210" s="29"/>
      <c r="K210" s="110"/>
      <c r="L210" s="29"/>
      <c r="M210" s="103"/>
      <c r="N210" s="109"/>
      <c r="O210" s="6"/>
    </row>
    <row r="211" spans="1:15" ht="15.75">
      <c r="A211" s="108"/>
      <c r="B211" s="74" t="s">
        <v>148</v>
      </c>
      <c r="C211" s="67"/>
      <c r="D211" s="67"/>
      <c r="E211" s="74"/>
      <c r="F211" s="74"/>
      <c r="G211" s="74"/>
      <c r="H211" s="29"/>
      <c r="I211" s="29"/>
      <c r="J211" s="29"/>
      <c r="K211" s="110">
        <v>0</v>
      </c>
      <c r="L211" s="29"/>
      <c r="M211" s="103"/>
      <c r="N211" s="109"/>
      <c r="O211" s="6"/>
    </row>
    <row r="212" spans="1:15" ht="15.75">
      <c r="A212" s="106"/>
      <c r="B212" s="74" t="s">
        <v>149</v>
      </c>
      <c r="C212" s="67"/>
      <c r="D212" s="67"/>
      <c r="E212" s="111"/>
      <c r="F212" s="111"/>
      <c r="G212" s="112"/>
      <c r="H212" s="29"/>
      <c r="I212" s="29"/>
      <c r="J212" s="29"/>
      <c r="K212" s="110">
        <v>0</v>
      </c>
      <c r="L212" s="29"/>
      <c r="M212" s="103"/>
      <c r="N212" s="109"/>
      <c r="O212" s="6"/>
    </row>
    <row r="213" spans="1:15" ht="15.75">
      <c r="A213" s="106"/>
      <c r="B213" s="74" t="s">
        <v>150</v>
      </c>
      <c r="C213" s="67"/>
      <c r="D213" s="67"/>
      <c r="E213" s="111"/>
      <c r="F213" s="111"/>
      <c r="G213" s="112"/>
      <c r="H213" s="29"/>
      <c r="I213" s="29"/>
      <c r="J213" s="29"/>
      <c r="K213" s="110">
        <v>0</v>
      </c>
      <c r="L213" s="29"/>
      <c r="M213" s="103"/>
      <c r="N213" s="109"/>
      <c r="O213" s="6"/>
    </row>
    <row r="214" spans="1:15" ht="15.75">
      <c r="A214" s="106"/>
      <c r="B214" s="74" t="s">
        <v>151</v>
      </c>
      <c r="C214" s="67"/>
      <c r="D214" s="67"/>
      <c r="E214" s="113"/>
      <c r="F214" s="111"/>
      <c r="G214" s="112"/>
      <c r="H214" s="29"/>
      <c r="I214" s="29"/>
      <c r="J214" s="29"/>
      <c r="K214" s="110">
        <v>0</v>
      </c>
      <c r="L214" s="29"/>
      <c r="M214" s="103"/>
      <c r="N214" s="109"/>
      <c r="O214" s="6"/>
    </row>
    <row r="215" spans="1:15" ht="15.75">
      <c r="A215" s="106"/>
      <c r="B215" s="74"/>
      <c r="C215" s="67"/>
      <c r="D215" s="67"/>
      <c r="E215" s="113"/>
      <c r="F215" s="111"/>
      <c r="G215" s="112"/>
      <c r="H215" s="29"/>
      <c r="I215" s="37"/>
      <c r="J215" s="37"/>
      <c r="K215" s="114"/>
      <c r="L215" s="37"/>
      <c r="M215" s="103"/>
      <c r="N215" s="109"/>
      <c r="O215" s="6"/>
    </row>
    <row r="216" spans="1:15" ht="15.75">
      <c r="A216" s="106"/>
      <c r="B216" s="162" t="s">
        <v>152</v>
      </c>
      <c r="C216" s="67"/>
      <c r="D216" s="67"/>
      <c r="E216" s="113"/>
      <c r="F216" s="111"/>
      <c r="G216" s="112"/>
      <c r="H216" s="29"/>
      <c r="I216" s="37"/>
      <c r="J216" s="37"/>
      <c r="K216" s="114"/>
      <c r="L216" s="37"/>
      <c r="M216" s="103"/>
      <c r="N216" s="109"/>
      <c r="O216" s="6"/>
    </row>
    <row r="217" spans="1:15" ht="15.75">
      <c r="A217" s="106"/>
      <c r="B217" s="74" t="s">
        <v>153</v>
      </c>
      <c r="C217" s="67"/>
      <c r="D217" s="67"/>
      <c r="E217" s="113"/>
      <c r="F217" s="111"/>
      <c r="G217" s="112"/>
      <c r="H217" s="29"/>
      <c r="I217" s="37"/>
      <c r="J217" s="37"/>
      <c r="K217" s="115">
        <v>192</v>
      </c>
      <c r="L217" s="37"/>
      <c r="M217" s="103"/>
      <c r="N217" s="109"/>
      <c r="O217" s="6"/>
    </row>
    <row r="218" spans="1:15" ht="15.75">
      <c r="A218" s="106"/>
      <c r="B218" s="74" t="s">
        <v>149</v>
      </c>
      <c r="C218" s="67"/>
      <c r="D218" s="67"/>
      <c r="E218" s="113"/>
      <c r="F218" s="111"/>
      <c r="G218" s="112"/>
      <c r="H218" s="29"/>
      <c r="I218" s="37"/>
      <c r="J218" s="37"/>
      <c r="K218" s="115">
        <v>1.89</v>
      </c>
      <c r="L218" s="37"/>
      <c r="M218" s="103"/>
      <c r="N218" s="109"/>
      <c r="O218" s="6"/>
    </row>
    <row r="219" spans="1:15" ht="15.75">
      <c r="A219" s="106"/>
      <c r="B219" s="74" t="s">
        <v>154</v>
      </c>
      <c r="C219" s="67"/>
      <c r="D219" s="67"/>
      <c r="E219" s="113"/>
      <c r="F219" s="111"/>
      <c r="G219" s="112"/>
      <c r="H219" s="29"/>
      <c r="I219" s="37"/>
      <c r="J219" s="37"/>
      <c r="K219" s="115">
        <v>40.94</v>
      </c>
      <c r="L219" s="37"/>
      <c r="M219" s="103"/>
      <c r="N219" s="109"/>
      <c r="O219" s="6"/>
    </row>
    <row r="220" spans="1:15" ht="15.75">
      <c r="A220" s="106"/>
      <c r="B220" s="74"/>
      <c r="C220" s="67"/>
      <c r="D220" s="67"/>
      <c r="E220" s="113"/>
      <c r="F220" s="111"/>
      <c r="G220" s="112"/>
      <c r="H220" s="29"/>
      <c r="I220" s="37"/>
      <c r="J220" s="37"/>
      <c r="K220" s="114"/>
      <c r="L220" s="37"/>
      <c r="M220" s="103"/>
      <c r="N220" s="109"/>
      <c r="O220" s="6"/>
    </row>
    <row r="221" spans="1:15" ht="15.75">
      <c r="A221" s="28"/>
      <c r="B221" s="32" t="s">
        <v>155</v>
      </c>
      <c r="C221" s="119"/>
      <c r="D221" s="119"/>
      <c r="E221" s="120"/>
      <c r="F221" s="119"/>
      <c r="G221" s="120"/>
      <c r="H221" s="119"/>
      <c r="I221" s="120" t="s">
        <v>206</v>
      </c>
      <c r="J221" s="119" t="s">
        <v>208</v>
      </c>
      <c r="K221" s="120" t="s">
        <v>215</v>
      </c>
      <c r="L221" s="119" t="s">
        <v>208</v>
      </c>
      <c r="M221" s="121"/>
      <c r="N221" s="109"/>
      <c r="O221" s="6"/>
    </row>
    <row r="222" spans="1:15" ht="15.75">
      <c r="A222" s="28"/>
      <c r="B222" s="67" t="s">
        <v>156</v>
      </c>
      <c r="C222" s="116"/>
      <c r="D222" s="116"/>
      <c r="E222" s="67"/>
      <c r="F222" s="116"/>
      <c r="G222" s="29"/>
      <c r="H222" s="116"/>
      <c r="I222" s="67">
        <v>5715</v>
      </c>
      <c r="J222" s="116">
        <f>I222/I226</f>
        <v>0.9642314830436983</v>
      </c>
      <c r="K222" s="66">
        <v>105092</v>
      </c>
      <c r="L222" s="117">
        <f>K222/K226</f>
        <v>0.95885111585555</v>
      </c>
      <c r="M222" s="103"/>
      <c r="N222" s="109"/>
      <c r="O222" s="6"/>
    </row>
    <row r="223" spans="1:15" ht="15.75">
      <c r="A223" s="28"/>
      <c r="B223" s="67" t="s">
        <v>157</v>
      </c>
      <c r="C223" s="116"/>
      <c r="D223" s="116"/>
      <c r="E223" s="67"/>
      <c r="F223" s="116"/>
      <c r="G223" s="29"/>
      <c r="H223" s="118"/>
      <c r="I223" s="67">
        <v>100</v>
      </c>
      <c r="J223" s="116">
        <f>I223/I226</f>
        <v>0.016871941960519655</v>
      </c>
      <c r="K223" s="66">
        <v>2247</v>
      </c>
      <c r="L223" s="117">
        <f>K223/K226</f>
        <v>0.020501450703454317</v>
      </c>
      <c r="M223" s="103"/>
      <c r="N223" s="109"/>
      <c r="O223" s="6"/>
    </row>
    <row r="224" spans="1:15" ht="15.75">
      <c r="A224" s="28"/>
      <c r="B224" s="67" t="s">
        <v>158</v>
      </c>
      <c r="C224" s="116"/>
      <c r="D224" s="116"/>
      <c r="E224" s="67"/>
      <c r="F224" s="116"/>
      <c r="G224" s="29"/>
      <c r="H224" s="118"/>
      <c r="I224" s="67">
        <v>42</v>
      </c>
      <c r="J224" s="116">
        <f>I224/I226</f>
        <v>0.007086215623418255</v>
      </c>
      <c r="K224" s="66">
        <v>947</v>
      </c>
      <c r="L224" s="117">
        <f>K224/K226</f>
        <v>0.00864035327822485</v>
      </c>
      <c r="M224" s="103"/>
      <c r="N224" s="109"/>
      <c r="O224" s="6"/>
    </row>
    <row r="225" spans="1:15" ht="15.75">
      <c r="A225" s="28"/>
      <c r="B225" s="67" t="s">
        <v>159</v>
      </c>
      <c r="C225" s="116"/>
      <c r="D225" s="116"/>
      <c r="E225" s="67"/>
      <c r="F225" s="116"/>
      <c r="G225" s="29"/>
      <c r="H225" s="118"/>
      <c r="I225" s="67">
        <f>18+7+19+16+10</f>
        <v>70</v>
      </c>
      <c r="J225" s="116">
        <f>I225/I226</f>
        <v>0.011810359372363759</v>
      </c>
      <c r="K225" s="66">
        <v>1316</v>
      </c>
      <c r="L225" s="117">
        <f>K225/K226</f>
        <v>0.012007080162770752</v>
      </c>
      <c r="M225" s="103"/>
      <c r="N225" s="109"/>
      <c r="O225" s="6"/>
    </row>
    <row r="226" spans="1:15" ht="15.75">
      <c r="A226" s="28"/>
      <c r="B226" s="29"/>
      <c r="C226" s="29"/>
      <c r="D226" s="29"/>
      <c r="E226" s="37"/>
      <c r="F226" s="29"/>
      <c r="G226" s="29"/>
      <c r="H226" s="29"/>
      <c r="I226" s="65">
        <f>SUM(I222:I225)</f>
        <v>5927</v>
      </c>
      <c r="J226" s="117">
        <f>SUM(J222:J225)</f>
        <v>1</v>
      </c>
      <c r="K226" s="66">
        <f>SUM(K222:K225)</f>
        <v>109602</v>
      </c>
      <c r="L226" s="117">
        <f>SUM(L222:L225)</f>
        <v>1</v>
      </c>
      <c r="M226" s="103"/>
      <c r="N226" s="29"/>
      <c r="O226" s="6"/>
    </row>
    <row r="227" spans="1:15" ht="15.75">
      <c r="A227" s="28"/>
      <c r="B227" s="29"/>
      <c r="C227" s="29"/>
      <c r="D227" s="29"/>
      <c r="E227" s="37"/>
      <c r="F227" s="29"/>
      <c r="G227" s="29"/>
      <c r="H227" s="29"/>
      <c r="I227" s="65"/>
      <c r="J227" s="117"/>
      <c r="K227" s="66"/>
      <c r="L227" s="117"/>
      <c r="M227" s="103"/>
      <c r="N227" s="29"/>
      <c r="O227" s="6"/>
    </row>
    <row r="228" spans="1:15" ht="15.75">
      <c r="A228" s="28"/>
      <c r="B228" s="32" t="s">
        <v>160</v>
      </c>
      <c r="C228" s="119"/>
      <c r="D228" s="119"/>
      <c r="E228" s="120"/>
      <c r="F228" s="119"/>
      <c r="G228" s="120"/>
      <c r="H228" s="119"/>
      <c r="I228" s="120" t="s">
        <v>206</v>
      </c>
      <c r="J228" s="119" t="s">
        <v>208</v>
      </c>
      <c r="K228" s="120" t="s">
        <v>215</v>
      </c>
      <c r="L228" s="119" t="s">
        <v>208</v>
      </c>
      <c r="M228" s="121"/>
      <c r="N228" s="109"/>
      <c r="O228" s="6"/>
    </row>
    <row r="229" spans="1:15" ht="15.75">
      <c r="A229" s="28"/>
      <c r="B229" s="67" t="s">
        <v>156</v>
      </c>
      <c r="C229" s="116"/>
      <c r="D229" s="116"/>
      <c r="E229" s="67"/>
      <c r="F229" s="116"/>
      <c r="G229" s="29"/>
      <c r="H229" s="116"/>
      <c r="I229" s="67">
        <v>10640</v>
      </c>
      <c r="J229" s="116">
        <f>I229/I233</f>
        <v>0.978750804893754</v>
      </c>
      <c r="K229" s="66">
        <v>55082</v>
      </c>
      <c r="L229" s="116">
        <f>K229/K233</f>
        <v>0.9772723240423682</v>
      </c>
      <c r="M229" s="103"/>
      <c r="N229" s="109"/>
      <c r="O229" s="6"/>
    </row>
    <row r="230" spans="1:15" ht="15.75">
      <c r="A230" s="28"/>
      <c r="B230" s="67" t="s">
        <v>157</v>
      </c>
      <c r="C230" s="116"/>
      <c r="D230" s="116"/>
      <c r="E230" s="67"/>
      <c r="F230" s="116"/>
      <c r="G230" s="29"/>
      <c r="H230" s="118"/>
      <c r="I230" s="67">
        <v>80</v>
      </c>
      <c r="J230" s="116">
        <f>I230/I233</f>
        <v>0.0073590286082237145</v>
      </c>
      <c r="K230" s="66">
        <v>364</v>
      </c>
      <c r="L230" s="116">
        <f>K230/K233</f>
        <v>0.006458137430583893</v>
      </c>
      <c r="M230" s="103"/>
      <c r="N230" s="109"/>
      <c r="O230" s="6"/>
    </row>
    <row r="231" spans="1:15" ht="15.75">
      <c r="A231" s="28"/>
      <c r="B231" s="67" t="s">
        <v>158</v>
      </c>
      <c r="C231" s="116"/>
      <c r="D231" s="116"/>
      <c r="E231" s="67"/>
      <c r="F231" s="116"/>
      <c r="G231" s="29"/>
      <c r="H231" s="118"/>
      <c r="I231" s="67">
        <v>41</v>
      </c>
      <c r="J231" s="116">
        <f>I231/I233</f>
        <v>0.0037715021617146537</v>
      </c>
      <c r="K231" s="66">
        <v>232</v>
      </c>
      <c r="L231" s="116">
        <f>K231/K233</f>
        <v>0.004116175505207317</v>
      </c>
      <c r="M231" s="103"/>
      <c r="N231" s="109"/>
      <c r="O231" s="6"/>
    </row>
    <row r="232" spans="1:15" ht="15.75">
      <c r="A232" s="28"/>
      <c r="B232" s="67" t="s">
        <v>159</v>
      </c>
      <c r="C232" s="116"/>
      <c r="D232" s="116"/>
      <c r="E232" s="67"/>
      <c r="F232" s="116"/>
      <c r="G232" s="29"/>
      <c r="H232" s="118"/>
      <c r="I232" s="67">
        <v>110</v>
      </c>
      <c r="J232" s="116">
        <f>I232/I233</f>
        <v>0.010118664336307608</v>
      </c>
      <c r="K232" s="66">
        <v>685</v>
      </c>
      <c r="L232" s="116">
        <f>K232/K233</f>
        <v>0.01215336302184057</v>
      </c>
      <c r="M232" s="103"/>
      <c r="N232" s="109"/>
      <c r="O232" s="6"/>
    </row>
    <row r="233" spans="1:15" ht="15.75">
      <c r="A233" s="28"/>
      <c r="B233" s="29"/>
      <c r="C233" s="29"/>
      <c r="D233" s="29"/>
      <c r="E233" s="37"/>
      <c r="F233" s="29"/>
      <c r="G233" s="29"/>
      <c r="H233" s="29"/>
      <c r="I233" s="65">
        <f>SUM(I229:I232)</f>
        <v>10871</v>
      </c>
      <c r="J233" s="117">
        <f>SUM(J229:J232)</f>
        <v>0.9999999999999999</v>
      </c>
      <c r="K233" s="66">
        <f>SUM(K229:K232)</f>
        <v>56363</v>
      </c>
      <c r="L233" s="117">
        <f>SUM(L229:L232)</f>
        <v>0.9999999999999999</v>
      </c>
      <c r="M233" s="103"/>
      <c r="N233" s="29"/>
      <c r="O233" s="6"/>
    </row>
    <row r="234" spans="1:15" ht="15.75">
      <c r="A234" s="28"/>
      <c r="B234" s="29"/>
      <c r="C234" s="29"/>
      <c r="D234" s="29"/>
      <c r="E234" s="37"/>
      <c r="F234" s="29"/>
      <c r="G234" s="29"/>
      <c r="H234" s="29"/>
      <c r="I234" s="65"/>
      <c r="J234" s="117"/>
      <c r="K234" s="66"/>
      <c r="L234" s="117"/>
      <c r="M234" s="103"/>
      <c r="N234" s="29"/>
      <c r="O234" s="6"/>
    </row>
    <row r="235" spans="1:15" ht="15.75">
      <c r="A235" s="28"/>
      <c r="B235" s="29" t="s">
        <v>161</v>
      </c>
      <c r="C235" s="29"/>
      <c r="D235" s="29"/>
      <c r="E235" s="37"/>
      <c r="F235" s="29"/>
      <c r="G235" s="29"/>
      <c r="H235" s="29"/>
      <c r="I235" s="65"/>
      <c r="J235" s="117"/>
      <c r="K235" s="66">
        <f>K226+K233</f>
        <v>165965</v>
      </c>
      <c r="L235" s="117"/>
      <c r="M235" s="103"/>
      <c r="N235" s="29"/>
      <c r="O235" s="6"/>
    </row>
    <row r="236" spans="1:15" ht="15.75">
      <c r="A236" s="28"/>
      <c r="B236" s="29"/>
      <c r="C236" s="29"/>
      <c r="D236" s="29"/>
      <c r="E236" s="37"/>
      <c r="F236" s="29"/>
      <c r="G236" s="29"/>
      <c r="H236" s="29"/>
      <c r="I236" s="65"/>
      <c r="J236" s="117"/>
      <c r="K236" s="66"/>
      <c r="L236" s="117"/>
      <c r="M236" s="103"/>
      <c r="N236" s="29"/>
      <c r="O236" s="6"/>
    </row>
    <row r="237" spans="1:15" ht="15.75">
      <c r="A237" s="28"/>
      <c r="B237" s="29"/>
      <c r="C237" s="29"/>
      <c r="D237" s="29"/>
      <c r="E237" s="37"/>
      <c r="F237" s="29"/>
      <c r="G237" s="29"/>
      <c r="H237" s="29"/>
      <c r="I237" s="65"/>
      <c r="J237" s="117"/>
      <c r="K237" s="66"/>
      <c r="L237" s="117"/>
      <c r="M237" s="103"/>
      <c r="N237" s="29"/>
      <c r="O237" s="6"/>
    </row>
    <row r="238" spans="1:15" ht="15.75">
      <c r="A238" s="122"/>
      <c r="B238" s="17" t="s">
        <v>162</v>
      </c>
      <c r="C238" s="123"/>
      <c r="D238" s="123"/>
      <c r="E238" s="20" t="s">
        <v>182</v>
      </c>
      <c r="F238" s="18"/>
      <c r="G238" s="17" t="s">
        <v>194</v>
      </c>
      <c r="H238" s="124"/>
      <c r="I238" s="124"/>
      <c r="J238" s="124"/>
      <c r="K238" s="125"/>
      <c r="L238" s="14"/>
      <c r="M238" s="14"/>
      <c r="N238" s="14"/>
      <c r="O238" s="6"/>
    </row>
    <row r="239" spans="1:15" ht="15.75">
      <c r="A239" s="122"/>
      <c r="B239" s="15" t="s">
        <v>163</v>
      </c>
      <c r="C239" s="126"/>
      <c r="D239" s="126"/>
      <c r="E239" s="127" t="s">
        <v>183</v>
      </c>
      <c r="F239" s="15"/>
      <c r="G239" s="15" t="s">
        <v>195</v>
      </c>
      <c r="H239" s="126"/>
      <c r="I239" s="126"/>
      <c r="J239" s="14"/>
      <c r="K239" s="14"/>
      <c r="L239" s="14"/>
      <c r="M239" s="14"/>
      <c r="N239" s="14"/>
      <c r="O239" s="6"/>
    </row>
    <row r="240" spans="1:15" ht="15.75">
      <c r="A240" s="122"/>
      <c r="B240" s="15" t="s">
        <v>164</v>
      </c>
      <c r="C240" s="126"/>
      <c r="D240" s="126"/>
      <c r="E240" s="127" t="s">
        <v>184</v>
      </c>
      <c r="F240" s="15"/>
      <c r="G240" s="15" t="s">
        <v>196</v>
      </c>
      <c r="H240" s="126"/>
      <c r="I240" s="126"/>
      <c r="J240" s="14"/>
      <c r="K240" s="14"/>
      <c r="L240" s="14"/>
      <c r="M240" s="14"/>
      <c r="N240" s="14"/>
      <c r="O240" s="6"/>
    </row>
    <row r="241" spans="1:15" ht="15.75">
      <c r="A241" s="122"/>
      <c r="B241" s="15"/>
      <c r="C241" s="126"/>
      <c r="D241" s="126"/>
      <c r="E241" s="127"/>
      <c r="F241" s="15"/>
      <c r="G241" s="15"/>
      <c r="H241" s="126"/>
      <c r="I241" s="126"/>
      <c r="J241" s="14"/>
      <c r="K241" s="14"/>
      <c r="L241" s="14"/>
      <c r="M241" s="14"/>
      <c r="N241" s="14"/>
      <c r="O241" s="6"/>
    </row>
    <row r="242" spans="1:15" ht="15.75">
      <c r="A242" s="122"/>
      <c r="B242" s="15"/>
      <c r="C242" s="126"/>
      <c r="D242" s="126"/>
      <c r="E242" s="127"/>
      <c r="F242" s="15"/>
      <c r="G242" s="15"/>
      <c r="H242" s="126"/>
      <c r="I242" s="126"/>
      <c r="J242" s="14"/>
      <c r="K242" s="14"/>
      <c r="L242" s="14"/>
      <c r="M242" s="14"/>
      <c r="N242" s="14"/>
      <c r="O242" s="6"/>
    </row>
    <row r="243" spans="1:15" ht="15.75">
      <c r="A243" s="122"/>
      <c r="B243" s="15" t="str">
        <f>B174</f>
        <v>PASF1 INVESTOR REPORT QUARTER ENDING JULY 2004</v>
      </c>
      <c r="C243" s="126"/>
      <c r="D243" s="126"/>
      <c r="E243" s="127"/>
      <c r="F243" s="15"/>
      <c r="G243" s="15"/>
      <c r="H243" s="126"/>
      <c r="I243" s="126"/>
      <c r="J243" s="14"/>
      <c r="K243" s="14"/>
      <c r="L243" s="14"/>
      <c r="M243" s="14"/>
      <c r="N243" s="14"/>
      <c r="O243" s="6"/>
    </row>
    <row r="244" spans="1:14" ht="15">
      <c r="A244" s="130"/>
      <c r="B244" s="130"/>
      <c r="C244" s="130"/>
      <c r="D244" s="130"/>
      <c r="E244" s="130"/>
      <c r="F244" s="130"/>
      <c r="G244" s="130"/>
      <c r="H244" s="130"/>
      <c r="I244" s="130"/>
      <c r="J244" s="130"/>
      <c r="K244" s="130"/>
      <c r="L244" s="130"/>
      <c r="M244" s="130"/>
      <c r="N244" s="130"/>
    </row>
  </sheetData>
  <printOptions horizontalCentered="1" verticalCentered="1"/>
  <pageMargins left="0.2362204724409449" right="0.4330708661417323" top="0.2362204724409449" bottom="0.31496062992125984" header="0" footer="0"/>
  <pageSetup horizontalDpi="600" verticalDpi="600" orientation="landscape" paperSize="9" scale="48" r:id="rId2"/>
  <rowBreaks count="3" manualBreakCount="3">
    <brk id="53" max="14" man="1"/>
    <brk id="116" max="14" man="1"/>
    <brk id="174" max="14" man="1"/>
  </rowBreaks>
  <drawing r:id="rId1"/>
</worksheet>
</file>

<file path=xl/worksheets/sheet16.xml><?xml version="1.0" encoding="utf-8"?>
<worksheet xmlns="http://schemas.openxmlformats.org/spreadsheetml/2006/main" xmlns:r="http://schemas.openxmlformats.org/officeDocument/2006/relationships">
  <dimension ref="A1:T248"/>
  <sheetViews>
    <sheetView tabSelected="1" showOutlineSymbols="0" zoomScale="70" zoomScaleNormal="70" workbookViewId="0" topLeftCell="A1">
      <selection activeCell="A1" sqref="A1"/>
    </sheetView>
  </sheetViews>
  <sheetFormatPr defaultColWidth="8.88671875" defaultRowHeight="15"/>
  <cols>
    <col min="1" max="1" width="3.6640625" style="1" customWidth="1"/>
    <col min="2" max="2" width="49.6640625" style="1" customWidth="1"/>
    <col min="3" max="3" width="12.6640625" style="1" customWidth="1"/>
    <col min="4" max="4" width="18.6640625" style="1" customWidth="1"/>
    <col min="5" max="5" width="14.6640625" style="1" customWidth="1"/>
    <col min="6" max="6" width="4.6640625" style="1" customWidth="1"/>
    <col min="7" max="7" width="14.6640625" style="1" customWidth="1"/>
    <col min="8" max="8" width="4.6640625" style="1" customWidth="1"/>
    <col min="9" max="9" width="19.6640625" style="1" customWidth="1"/>
    <col min="10" max="10" width="6.6640625" style="1" customWidth="1"/>
    <col min="11" max="11" width="12.4453125" style="1" customWidth="1"/>
    <col min="12" max="12" width="8.6640625" style="1" customWidth="1"/>
    <col min="13" max="13" width="14.6640625" style="1" customWidth="1"/>
    <col min="14" max="14" width="2.6640625" style="1" customWidth="1"/>
    <col min="15" max="16384" width="9.6640625" style="1" customWidth="1"/>
  </cols>
  <sheetData>
    <row r="1" spans="1:15" ht="20.25">
      <c r="A1" s="2"/>
      <c r="B1" s="3" t="s">
        <v>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44" t="s">
        <v>1</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241</v>
      </c>
      <c r="C5" s="13"/>
      <c r="D5" s="13"/>
      <c r="E5" s="9"/>
      <c r="F5" s="9"/>
      <c r="G5" s="9"/>
      <c r="H5" s="9"/>
      <c r="I5" s="9"/>
      <c r="J5" s="9"/>
      <c r="K5" s="9"/>
      <c r="L5" s="9"/>
      <c r="M5" s="9"/>
      <c r="N5" s="9"/>
      <c r="O5" s="6"/>
    </row>
    <row r="6" spans="1:15" ht="15.75">
      <c r="A6" s="7"/>
      <c r="B6" s="12" t="s">
        <v>242</v>
      </c>
      <c r="C6" s="13"/>
      <c r="D6" s="13"/>
      <c r="E6" s="9"/>
      <c r="F6" s="9"/>
      <c r="G6" s="9"/>
      <c r="H6" s="9"/>
      <c r="I6" s="9"/>
      <c r="J6" s="9"/>
      <c r="K6" s="9"/>
      <c r="L6" s="9"/>
      <c r="M6" s="9"/>
      <c r="N6" s="9"/>
      <c r="O6" s="6"/>
    </row>
    <row r="7" spans="1:15" ht="15.75">
      <c r="A7" s="7"/>
      <c r="B7" s="12" t="s">
        <v>4</v>
      </c>
      <c r="C7" s="13"/>
      <c r="D7" s="13"/>
      <c r="E7" s="9"/>
      <c r="F7" s="9"/>
      <c r="G7" s="9"/>
      <c r="H7" s="9"/>
      <c r="I7" s="9"/>
      <c r="J7" s="9"/>
      <c r="K7" s="9"/>
      <c r="L7" s="9"/>
      <c r="M7" s="9"/>
      <c r="N7" s="9"/>
      <c r="O7" s="6"/>
    </row>
    <row r="8" spans="1:15" ht="15.75">
      <c r="A8" s="7"/>
      <c r="B8" s="14"/>
      <c r="C8" s="13"/>
      <c r="D8" s="13"/>
      <c r="E8" s="9"/>
      <c r="F8" s="9"/>
      <c r="G8" s="9"/>
      <c r="H8" s="9"/>
      <c r="I8" s="9"/>
      <c r="J8" s="9"/>
      <c r="K8" s="9"/>
      <c r="L8" s="9"/>
      <c r="M8" s="9"/>
      <c r="N8" s="9"/>
      <c r="O8" s="6"/>
    </row>
    <row r="9" spans="1:15" ht="15.75">
      <c r="A9" s="7"/>
      <c r="B9" s="13"/>
      <c r="C9" s="13"/>
      <c r="D9" s="13"/>
      <c r="E9" s="15"/>
      <c r="F9" s="15"/>
      <c r="G9" s="9"/>
      <c r="H9" s="9"/>
      <c r="I9" s="9"/>
      <c r="J9" s="9"/>
      <c r="K9" s="9"/>
      <c r="L9" s="9"/>
      <c r="M9" s="9"/>
      <c r="N9" s="9"/>
      <c r="O9" s="6"/>
    </row>
    <row r="10" spans="1:15" ht="15.75">
      <c r="A10" s="7"/>
      <c r="B10" s="15" t="s">
        <v>5</v>
      </c>
      <c r="C10" s="15"/>
      <c r="D10" s="15"/>
      <c r="E10" s="9"/>
      <c r="F10" s="9"/>
      <c r="G10" s="9"/>
      <c r="H10" s="9"/>
      <c r="I10" s="9"/>
      <c r="J10" s="9"/>
      <c r="K10" s="9"/>
      <c r="L10" s="9"/>
      <c r="M10" s="9"/>
      <c r="N10" s="9"/>
      <c r="O10" s="6"/>
    </row>
    <row r="11" spans="1:15" ht="15.75">
      <c r="A11" s="7"/>
      <c r="B11" s="15"/>
      <c r="C11" s="15"/>
      <c r="D11" s="15"/>
      <c r="E11" s="9"/>
      <c r="F11" s="9"/>
      <c r="G11" s="9"/>
      <c r="H11" s="9"/>
      <c r="I11" s="9"/>
      <c r="J11" s="9"/>
      <c r="K11" s="9"/>
      <c r="L11" s="9"/>
      <c r="M11" s="9"/>
      <c r="N11" s="9"/>
      <c r="O11" s="6"/>
    </row>
    <row r="12" spans="1:15" ht="15.75">
      <c r="A12" s="2"/>
      <c r="B12" s="5"/>
      <c r="C12" s="5"/>
      <c r="D12" s="5"/>
      <c r="E12" s="5"/>
      <c r="F12" s="5"/>
      <c r="G12" s="5"/>
      <c r="H12" s="5"/>
      <c r="I12" s="5"/>
      <c r="J12" s="5"/>
      <c r="K12" s="5"/>
      <c r="L12" s="5"/>
      <c r="M12" s="5"/>
      <c r="N12" s="5"/>
      <c r="O12" s="6"/>
    </row>
    <row r="13" spans="1:15" ht="15.75">
      <c r="A13" s="7"/>
      <c r="B13" s="17" t="s">
        <v>6</v>
      </c>
      <c r="C13" s="17"/>
      <c r="D13" s="17"/>
      <c r="E13" s="18"/>
      <c r="F13" s="18"/>
      <c r="G13" s="18"/>
      <c r="H13" s="18"/>
      <c r="I13" s="18"/>
      <c r="J13" s="18"/>
      <c r="K13" s="18"/>
      <c r="L13" s="18"/>
      <c r="M13" s="19" t="s">
        <v>217</v>
      </c>
      <c r="N13" s="9"/>
      <c r="O13" s="6"/>
    </row>
    <row r="14" spans="1:15" ht="15.75">
      <c r="A14" s="7"/>
      <c r="B14" s="17" t="s">
        <v>7</v>
      </c>
      <c r="C14" s="17"/>
      <c r="D14" s="18"/>
      <c r="E14" s="18"/>
      <c r="F14" s="18"/>
      <c r="G14" s="18"/>
      <c r="H14" s="20" t="s">
        <v>197</v>
      </c>
      <c r="I14" s="21">
        <v>0.52</v>
      </c>
      <c r="J14" s="20" t="s">
        <v>207</v>
      </c>
      <c r="K14" s="21">
        <v>0.48</v>
      </c>
      <c r="L14" s="18"/>
      <c r="M14" s="19"/>
      <c r="N14" s="9"/>
      <c r="O14" s="6"/>
    </row>
    <row r="15" spans="1:15" ht="15.75">
      <c r="A15" s="7"/>
      <c r="B15" s="17" t="s">
        <v>8</v>
      </c>
      <c r="C15" s="17"/>
      <c r="D15" s="18"/>
      <c r="E15" s="18"/>
      <c r="F15" s="18"/>
      <c r="G15" s="18"/>
      <c r="H15" s="20" t="s">
        <v>197</v>
      </c>
      <c r="I15" s="21">
        <v>0</v>
      </c>
      <c r="J15" s="20" t="s">
        <v>207</v>
      </c>
      <c r="K15" s="21">
        <v>0</v>
      </c>
      <c r="L15" s="18"/>
      <c r="M15" s="19"/>
      <c r="N15" s="9"/>
      <c r="O15" s="6"/>
    </row>
    <row r="16" spans="1:15" ht="15.75">
      <c r="A16" s="7"/>
      <c r="B16" s="17" t="s">
        <v>9</v>
      </c>
      <c r="C16" s="17"/>
      <c r="D16" s="17"/>
      <c r="E16" s="18"/>
      <c r="F16" s="18"/>
      <c r="G16" s="18"/>
      <c r="H16" s="18"/>
      <c r="I16" s="18"/>
      <c r="J16" s="18"/>
      <c r="K16" s="18"/>
      <c r="L16" s="18"/>
      <c r="M16" s="22">
        <v>36853</v>
      </c>
      <c r="N16" s="9"/>
      <c r="O16" s="6"/>
    </row>
    <row r="17" spans="1:15" ht="15.75">
      <c r="A17" s="7"/>
      <c r="B17" s="17" t="s">
        <v>10</v>
      </c>
      <c r="C17" s="17"/>
      <c r="D17" s="17"/>
      <c r="E17" s="18"/>
      <c r="F17" s="18"/>
      <c r="G17" s="18"/>
      <c r="H17" s="18"/>
      <c r="I17" s="18"/>
      <c r="J17" s="18"/>
      <c r="K17" s="18"/>
      <c r="L17" s="18"/>
      <c r="M17" s="22">
        <v>38308</v>
      </c>
      <c r="N17" s="9"/>
      <c r="O17" s="6"/>
    </row>
    <row r="18" spans="1:15" ht="15.75">
      <c r="A18" s="7"/>
      <c r="B18" s="9"/>
      <c r="C18" s="9"/>
      <c r="D18" s="9"/>
      <c r="E18" s="9"/>
      <c r="F18" s="9"/>
      <c r="G18" s="9"/>
      <c r="H18" s="9"/>
      <c r="I18" s="9"/>
      <c r="J18" s="9"/>
      <c r="K18" s="9"/>
      <c r="L18" s="9"/>
      <c r="M18" s="23"/>
      <c r="N18" s="9"/>
      <c r="O18" s="6"/>
    </row>
    <row r="19" spans="1:15" ht="15.75">
      <c r="A19" s="7"/>
      <c r="B19" s="24" t="s">
        <v>11</v>
      </c>
      <c r="C19" s="9"/>
      <c r="D19" s="9"/>
      <c r="E19" s="9"/>
      <c r="F19" s="9"/>
      <c r="G19" s="9"/>
      <c r="H19" s="9"/>
      <c r="I19" s="9"/>
      <c r="J19" s="9"/>
      <c r="K19" s="23"/>
      <c r="L19" s="9"/>
      <c r="M19" s="14"/>
      <c r="N19" s="9"/>
      <c r="O19" s="6"/>
    </row>
    <row r="20" spans="1:15" ht="15.75">
      <c r="A20" s="7"/>
      <c r="B20" s="9"/>
      <c r="C20" s="9"/>
      <c r="D20" s="9"/>
      <c r="E20" s="9"/>
      <c r="F20" s="9"/>
      <c r="G20" s="9"/>
      <c r="H20" s="9"/>
      <c r="I20" s="9"/>
      <c r="J20" s="9"/>
      <c r="K20" s="9"/>
      <c r="L20" s="9"/>
      <c r="M20" s="25"/>
      <c r="N20" s="9"/>
      <c r="O20" s="6"/>
    </row>
    <row r="21" spans="1:15" ht="31.5">
      <c r="A21" s="7"/>
      <c r="B21" s="9"/>
      <c r="C21" s="145" t="s">
        <v>165</v>
      </c>
      <c r="D21" s="168" t="s">
        <v>168</v>
      </c>
      <c r="E21" s="168" t="s">
        <v>179</v>
      </c>
      <c r="F21" s="168"/>
      <c r="G21" s="168" t="s">
        <v>185</v>
      </c>
      <c r="H21" s="168"/>
      <c r="I21" s="168" t="s">
        <v>198</v>
      </c>
      <c r="J21" s="26"/>
      <c r="K21" s="27"/>
      <c r="L21" s="14"/>
      <c r="M21" s="14"/>
      <c r="N21" s="9"/>
      <c r="O21" s="6"/>
    </row>
    <row r="22" spans="1:15" ht="15.75">
      <c r="A22" s="28"/>
      <c r="B22" s="29" t="s">
        <v>12</v>
      </c>
      <c r="C22" s="146" t="s">
        <v>166</v>
      </c>
      <c r="D22" s="30" t="s">
        <v>169</v>
      </c>
      <c r="E22" s="30"/>
      <c r="F22" s="30"/>
      <c r="G22" s="30" t="s">
        <v>186</v>
      </c>
      <c r="H22" s="30"/>
      <c r="I22" s="30" t="s">
        <v>199</v>
      </c>
      <c r="J22" s="30"/>
      <c r="K22" s="30"/>
      <c r="L22" s="31"/>
      <c r="M22" s="31"/>
      <c r="N22" s="29"/>
      <c r="O22" s="6"/>
    </row>
    <row r="23" spans="1:15" ht="15.75">
      <c r="A23" s="28"/>
      <c r="B23" s="29" t="s">
        <v>13</v>
      </c>
      <c r="C23" s="32"/>
      <c r="D23" s="33" t="s">
        <v>170</v>
      </c>
      <c r="E23" s="34"/>
      <c r="F23" s="33"/>
      <c r="G23" s="33" t="s">
        <v>187</v>
      </c>
      <c r="H23" s="33"/>
      <c r="I23" s="33" t="s">
        <v>200</v>
      </c>
      <c r="J23" s="35"/>
      <c r="K23" s="35"/>
      <c r="L23" s="36"/>
      <c r="M23" s="31"/>
      <c r="N23" s="29"/>
      <c r="O23" s="6"/>
    </row>
    <row r="24" spans="1:15" ht="15.75">
      <c r="A24" s="28"/>
      <c r="B24" s="32" t="s">
        <v>14</v>
      </c>
      <c r="C24" s="32"/>
      <c r="D24" s="35" t="s">
        <v>169</v>
      </c>
      <c r="E24" s="35"/>
      <c r="F24" s="35"/>
      <c r="G24" s="35" t="s">
        <v>186</v>
      </c>
      <c r="H24" s="35"/>
      <c r="I24" s="35" t="s">
        <v>199</v>
      </c>
      <c r="J24" s="35"/>
      <c r="K24" s="35"/>
      <c r="L24" s="36"/>
      <c r="M24" s="31"/>
      <c r="N24" s="29"/>
      <c r="O24" s="6"/>
    </row>
    <row r="25" spans="1:15" ht="15.75">
      <c r="A25" s="28"/>
      <c r="B25" s="32" t="s">
        <v>15</v>
      </c>
      <c r="C25" s="32"/>
      <c r="D25" s="35" t="s">
        <v>170</v>
      </c>
      <c r="E25" s="35"/>
      <c r="F25" s="35"/>
      <c r="G25" s="35" t="s">
        <v>187</v>
      </c>
      <c r="H25" s="35"/>
      <c r="I25" s="35" t="s">
        <v>200</v>
      </c>
      <c r="J25" s="35"/>
      <c r="K25" s="35"/>
      <c r="L25" s="36"/>
      <c r="M25" s="31"/>
      <c r="N25" s="29"/>
      <c r="O25" s="6"/>
    </row>
    <row r="26" spans="1:15" ht="15.75">
      <c r="A26" s="28"/>
      <c r="B26" s="29" t="s">
        <v>16</v>
      </c>
      <c r="C26" s="29"/>
      <c r="D26" s="37" t="s">
        <v>171</v>
      </c>
      <c r="E26" s="37"/>
      <c r="F26" s="30"/>
      <c r="G26" s="37" t="s">
        <v>188</v>
      </c>
      <c r="H26" s="30"/>
      <c r="I26" s="37" t="s">
        <v>201</v>
      </c>
      <c r="J26" s="30"/>
      <c r="K26" s="37"/>
      <c r="L26" s="31"/>
      <c r="M26" s="31"/>
      <c r="N26" s="29"/>
      <c r="O26" s="6"/>
    </row>
    <row r="27" spans="1:15" ht="15.75">
      <c r="A27" s="28"/>
      <c r="B27" s="29"/>
      <c r="C27" s="29"/>
      <c r="D27" s="29"/>
      <c r="E27" s="29"/>
      <c r="F27" s="30"/>
      <c r="G27" s="30"/>
      <c r="H27" s="30"/>
      <c r="I27" s="30"/>
      <c r="J27" s="30"/>
      <c r="K27" s="30"/>
      <c r="L27" s="31"/>
      <c r="M27" s="31"/>
      <c r="N27" s="29"/>
      <c r="O27" s="6"/>
    </row>
    <row r="28" spans="1:15" ht="15.75">
      <c r="A28" s="28"/>
      <c r="B28" s="29" t="s">
        <v>17</v>
      </c>
      <c r="C28" s="29"/>
      <c r="D28" s="38" t="s">
        <v>172</v>
      </c>
      <c r="E28" s="38">
        <v>168668</v>
      </c>
      <c r="F28" s="39"/>
      <c r="G28" s="38">
        <v>16580</v>
      </c>
      <c r="H28" s="38"/>
      <c r="I28" s="38">
        <v>9750</v>
      </c>
      <c r="J28" s="38"/>
      <c r="K28" s="38"/>
      <c r="L28" s="39" t="s">
        <v>172</v>
      </c>
      <c r="M28" s="38">
        <f>K28+I28+G28+E28</f>
        <v>194998</v>
      </c>
      <c r="N28" s="40"/>
      <c r="O28" s="6"/>
    </row>
    <row r="29" spans="1:15" ht="15.75">
      <c r="A29" s="28"/>
      <c r="B29" s="29" t="s">
        <v>18</v>
      </c>
      <c r="C29" s="41">
        <f>M28/M29</f>
        <v>1</v>
      </c>
      <c r="D29" s="38" t="s">
        <v>173</v>
      </c>
      <c r="E29" s="38">
        <v>168668</v>
      </c>
      <c r="F29" s="39"/>
      <c r="G29" s="38">
        <v>16580</v>
      </c>
      <c r="H29" s="38"/>
      <c r="I29" s="38">
        <v>9750</v>
      </c>
      <c r="J29" s="42"/>
      <c r="K29" s="38"/>
      <c r="L29" s="39" t="s">
        <v>172</v>
      </c>
      <c r="M29" s="38">
        <f>K29+I29+G29+E29</f>
        <v>194998</v>
      </c>
      <c r="N29" s="40"/>
      <c r="O29" s="6"/>
    </row>
    <row r="30" spans="1:15" ht="15.75">
      <c r="A30" s="43"/>
      <c r="B30" s="32" t="s">
        <v>19</v>
      </c>
      <c r="C30" s="44">
        <v>0</v>
      </c>
      <c r="D30" s="45">
        <v>0</v>
      </c>
      <c r="E30" s="45">
        <v>0</v>
      </c>
      <c r="F30" s="46"/>
      <c r="G30" s="45">
        <v>0</v>
      </c>
      <c r="H30" s="45"/>
      <c r="I30" s="45">
        <v>0</v>
      </c>
      <c r="J30" s="45"/>
      <c r="K30" s="45"/>
      <c r="L30" s="46">
        <v>0</v>
      </c>
      <c r="M30" s="45">
        <f>K30+I30+G30+E30</f>
        <v>0</v>
      </c>
      <c r="N30" s="29"/>
      <c r="O30" s="6"/>
    </row>
    <row r="31" spans="1:15" ht="15.75">
      <c r="A31" s="28"/>
      <c r="B31" s="29" t="s">
        <v>20</v>
      </c>
      <c r="C31" s="140"/>
      <c r="D31" s="37" t="s">
        <v>174</v>
      </c>
      <c r="E31" s="37"/>
      <c r="F31" s="29"/>
      <c r="G31" s="37" t="s">
        <v>189</v>
      </c>
      <c r="H31" s="37"/>
      <c r="I31" s="37" t="s">
        <v>202</v>
      </c>
      <c r="J31" s="37"/>
      <c r="K31" s="37"/>
      <c r="L31" s="31"/>
      <c r="M31" s="31"/>
      <c r="N31" s="29"/>
      <c r="O31" s="6"/>
    </row>
    <row r="32" spans="1:15" ht="15.75">
      <c r="A32" s="28"/>
      <c r="B32" s="29" t="s">
        <v>21</v>
      </c>
      <c r="C32" s="140"/>
      <c r="D32" s="48" t="s">
        <v>175</v>
      </c>
      <c r="E32" s="49">
        <v>0.053375</v>
      </c>
      <c r="F32" s="50"/>
      <c r="G32" s="48">
        <v>0.057625</v>
      </c>
      <c r="H32" s="48"/>
      <c r="I32" s="48">
        <v>0.067625</v>
      </c>
      <c r="J32" s="51"/>
      <c r="K32" s="48"/>
      <c r="L32" s="31"/>
      <c r="M32" s="51">
        <v>0</v>
      </c>
      <c r="N32" s="29"/>
      <c r="O32" s="6"/>
    </row>
    <row r="33" spans="1:15" ht="15.75">
      <c r="A33" s="28"/>
      <c r="B33" s="29" t="s">
        <v>22</v>
      </c>
      <c r="C33" s="140"/>
      <c r="D33" s="48">
        <v>0.02454</v>
      </c>
      <c r="E33" s="48"/>
      <c r="F33" s="50"/>
      <c r="G33" s="48" t="s">
        <v>175</v>
      </c>
      <c r="H33" s="48"/>
      <c r="I33" s="48" t="s">
        <v>175</v>
      </c>
      <c r="J33" s="51"/>
      <c r="K33" s="48"/>
      <c r="L33" s="31"/>
      <c r="M33" s="51"/>
      <c r="N33" s="29"/>
      <c r="O33" s="6"/>
    </row>
    <row r="34" spans="1:15" ht="15.75">
      <c r="A34" s="28"/>
      <c r="B34" s="29" t="s">
        <v>23</v>
      </c>
      <c r="C34" s="140"/>
      <c r="D34" s="48" t="s">
        <v>175</v>
      </c>
      <c r="E34" s="48"/>
      <c r="F34" s="48"/>
      <c r="G34" s="48">
        <v>0.0529438</v>
      </c>
      <c r="H34" s="48"/>
      <c r="I34" s="48">
        <v>0.0629438</v>
      </c>
      <c r="J34" s="51"/>
      <c r="K34" s="48"/>
      <c r="L34" s="31"/>
      <c r="M34" s="31"/>
      <c r="N34" s="29"/>
      <c r="O34" s="6"/>
    </row>
    <row r="35" spans="1:15" ht="15.75">
      <c r="A35" s="28"/>
      <c r="B35" s="29" t="s">
        <v>24</v>
      </c>
      <c r="C35" s="140"/>
      <c r="D35" s="48">
        <v>0.02433</v>
      </c>
      <c r="E35" s="48"/>
      <c r="F35" s="50"/>
      <c r="G35" s="48" t="s">
        <v>175</v>
      </c>
      <c r="H35" s="48"/>
      <c r="I35" s="48" t="s">
        <v>175</v>
      </c>
      <c r="J35" s="51"/>
      <c r="K35" s="48"/>
      <c r="L35" s="31"/>
      <c r="M35" s="31"/>
      <c r="N35" s="29"/>
      <c r="O35" s="6"/>
    </row>
    <row r="36" spans="1:15" ht="15.75">
      <c r="A36" s="28"/>
      <c r="B36" s="29" t="s">
        <v>25</v>
      </c>
      <c r="C36" s="140"/>
      <c r="D36" s="37" t="s">
        <v>176</v>
      </c>
      <c r="E36" s="37"/>
      <c r="F36" s="29"/>
      <c r="G36" s="37" t="s">
        <v>176</v>
      </c>
      <c r="H36" s="37"/>
      <c r="I36" s="37" t="s">
        <v>176</v>
      </c>
      <c r="J36" s="37"/>
      <c r="K36" s="37"/>
      <c r="L36" s="31"/>
      <c r="M36" s="31"/>
      <c r="N36" s="29"/>
      <c r="O36" s="6"/>
    </row>
    <row r="37" spans="1:15" ht="15.75">
      <c r="A37" s="28"/>
      <c r="B37" s="29" t="s">
        <v>26</v>
      </c>
      <c r="C37" s="29"/>
      <c r="D37" s="52">
        <v>39036</v>
      </c>
      <c r="E37" s="52"/>
      <c r="F37" s="29"/>
      <c r="G37" s="52">
        <v>39036</v>
      </c>
      <c r="H37" s="52"/>
      <c r="I37" s="52">
        <v>39036</v>
      </c>
      <c r="J37" s="37"/>
      <c r="K37" s="37"/>
      <c r="L37" s="31"/>
      <c r="M37" s="31"/>
      <c r="N37" s="29"/>
      <c r="O37" s="6"/>
    </row>
    <row r="38" spans="1:15" ht="15.75">
      <c r="A38" s="28"/>
      <c r="B38" s="29" t="s">
        <v>27</v>
      </c>
      <c r="C38" s="29"/>
      <c r="D38" s="37" t="s">
        <v>177</v>
      </c>
      <c r="E38" s="37"/>
      <c r="F38" s="29"/>
      <c r="G38" s="37" t="s">
        <v>190</v>
      </c>
      <c r="H38" s="37"/>
      <c r="I38" s="37" t="s">
        <v>203</v>
      </c>
      <c r="J38" s="37"/>
      <c r="K38" s="37"/>
      <c r="L38" s="31"/>
      <c r="M38" s="31"/>
      <c r="N38" s="29"/>
      <c r="O38" s="6"/>
    </row>
    <row r="39" spans="1:15" ht="15.75">
      <c r="A39" s="28"/>
      <c r="B39" s="29"/>
      <c r="C39" s="29"/>
      <c r="D39" s="29"/>
      <c r="E39" s="53"/>
      <c r="F39" s="53"/>
      <c r="G39" s="29"/>
      <c r="H39" s="53"/>
      <c r="I39" s="174"/>
      <c r="J39" s="53"/>
      <c r="K39" s="53"/>
      <c r="L39" s="53"/>
      <c r="M39" s="53"/>
      <c r="N39" s="29"/>
      <c r="O39" s="6"/>
    </row>
    <row r="40" spans="1:15" ht="15.75">
      <c r="A40" s="28"/>
      <c r="B40" s="29" t="s">
        <v>28</v>
      </c>
      <c r="C40" s="29"/>
      <c r="D40" s="29"/>
      <c r="E40" s="29"/>
      <c r="F40" s="29"/>
      <c r="G40" s="50"/>
      <c r="H40" s="29"/>
      <c r="I40" s="50"/>
      <c r="J40" s="29"/>
      <c r="K40" s="29"/>
      <c r="L40" s="29"/>
      <c r="M40" s="51">
        <f>(I28+G28)/(E28)</f>
        <v>0.15610548533213175</v>
      </c>
      <c r="N40" s="29"/>
      <c r="O40" s="6"/>
    </row>
    <row r="41" spans="1:15" ht="15.75">
      <c r="A41" s="28"/>
      <c r="B41" s="29" t="s">
        <v>29</v>
      </c>
      <c r="C41" s="29"/>
      <c r="D41" s="29"/>
      <c r="E41" s="29"/>
      <c r="F41" s="29"/>
      <c r="G41" s="50"/>
      <c r="H41" s="29"/>
      <c r="I41" s="50"/>
      <c r="J41" s="29"/>
      <c r="K41" s="29"/>
      <c r="L41" s="29"/>
      <c r="M41" s="51">
        <v>0</v>
      </c>
      <c r="N41" s="29"/>
      <c r="O41" s="6"/>
    </row>
    <row r="42" spans="1:15" ht="15.75">
      <c r="A42" s="28"/>
      <c r="B42" s="29" t="s">
        <v>30</v>
      </c>
      <c r="C42" s="29"/>
      <c r="D42" s="29"/>
      <c r="E42" s="29"/>
      <c r="F42" s="29"/>
      <c r="G42" s="29"/>
      <c r="H42" s="29"/>
      <c r="I42" s="29"/>
      <c r="J42" s="29"/>
      <c r="K42" s="37" t="s">
        <v>168</v>
      </c>
      <c r="L42" s="37" t="s">
        <v>216</v>
      </c>
      <c r="M42" s="38">
        <v>60336</v>
      </c>
      <c r="N42" s="29"/>
      <c r="O42" s="6"/>
    </row>
    <row r="43" spans="1:15" ht="15.75">
      <c r="A43" s="28"/>
      <c r="B43" s="29"/>
      <c r="C43" s="29"/>
      <c r="D43" s="29"/>
      <c r="E43" s="29"/>
      <c r="F43" s="29"/>
      <c r="G43" s="29"/>
      <c r="H43" s="29"/>
      <c r="I43" s="29"/>
      <c r="J43" s="29"/>
      <c r="K43" s="29"/>
      <c r="L43" s="29"/>
      <c r="M43" s="54"/>
      <c r="N43" s="29"/>
      <c r="O43" s="6"/>
    </row>
    <row r="44" spans="1:15" ht="15.75">
      <c r="A44" s="28"/>
      <c r="B44" s="29" t="s">
        <v>31</v>
      </c>
      <c r="C44" s="29"/>
      <c r="D44" s="29"/>
      <c r="E44" s="29"/>
      <c r="F44" s="29"/>
      <c r="G44" s="29"/>
      <c r="H44" s="29"/>
      <c r="I44" s="29"/>
      <c r="J44" s="29"/>
      <c r="K44" s="37"/>
      <c r="L44" s="37"/>
      <c r="M44" s="37" t="s">
        <v>219</v>
      </c>
      <c r="N44" s="29"/>
      <c r="O44" s="6"/>
    </row>
    <row r="45" spans="1:15" ht="15.75">
      <c r="A45" s="43"/>
      <c r="B45" s="32" t="s">
        <v>32</v>
      </c>
      <c r="C45" s="32"/>
      <c r="D45" s="32"/>
      <c r="E45" s="32"/>
      <c r="F45" s="32"/>
      <c r="G45" s="32"/>
      <c r="H45" s="32"/>
      <c r="I45" s="32"/>
      <c r="J45" s="32"/>
      <c r="K45" s="55"/>
      <c r="L45" s="55"/>
      <c r="M45" s="56">
        <v>38306</v>
      </c>
      <c r="N45" s="32"/>
      <c r="O45" s="6"/>
    </row>
    <row r="46" spans="1:15" ht="15.75">
      <c r="A46" s="28"/>
      <c r="B46" s="29" t="s">
        <v>33</v>
      </c>
      <c r="C46" s="29"/>
      <c r="D46" s="29"/>
      <c r="E46" s="29"/>
      <c r="F46" s="29"/>
      <c r="G46" s="29"/>
      <c r="H46" s="29"/>
      <c r="I46" s="31"/>
      <c r="J46" s="29">
        <f>M46-K46+1</f>
        <v>91</v>
      </c>
      <c r="K46" s="58">
        <v>38124</v>
      </c>
      <c r="L46" s="59"/>
      <c r="M46" s="58">
        <v>38214</v>
      </c>
      <c r="N46" s="29"/>
      <c r="O46" s="6"/>
    </row>
    <row r="47" spans="1:15" ht="15.75">
      <c r="A47" s="28"/>
      <c r="B47" s="29" t="s">
        <v>34</v>
      </c>
      <c r="C47" s="29"/>
      <c r="D47" s="29"/>
      <c r="E47" s="29"/>
      <c r="F47" s="29"/>
      <c r="G47" s="29"/>
      <c r="H47" s="29"/>
      <c r="I47" s="31"/>
      <c r="J47" s="29">
        <f>M47-K47+1</f>
        <v>91</v>
      </c>
      <c r="K47" s="58">
        <v>38215</v>
      </c>
      <c r="L47" s="59"/>
      <c r="M47" s="58">
        <v>38305</v>
      </c>
      <c r="N47" s="29"/>
      <c r="O47" s="6"/>
    </row>
    <row r="48" spans="1:15" ht="15.75">
      <c r="A48" s="28"/>
      <c r="B48" s="29" t="s">
        <v>35</v>
      </c>
      <c r="C48" s="29"/>
      <c r="D48" s="29"/>
      <c r="E48" s="29"/>
      <c r="F48" s="29"/>
      <c r="G48" s="29"/>
      <c r="H48" s="29"/>
      <c r="I48" s="29"/>
      <c r="J48" s="29"/>
      <c r="K48" s="58"/>
      <c r="L48" s="59"/>
      <c r="M48" s="58" t="s">
        <v>220</v>
      </c>
      <c r="N48" s="29"/>
      <c r="O48" s="6"/>
    </row>
    <row r="49" spans="1:15" ht="15.75">
      <c r="A49" s="28"/>
      <c r="B49" s="29" t="s">
        <v>36</v>
      </c>
      <c r="C49" s="29"/>
      <c r="D49" s="29"/>
      <c r="E49" s="29"/>
      <c r="F49" s="29"/>
      <c r="G49" s="29"/>
      <c r="H49" s="29"/>
      <c r="I49" s="29"/>
      <c r="J49" s="29"/>
      <c r="K49" s="58"/>
      <c r="L49" s="59"/>
      <c r="M49" s="58" t="s">
        <v>246</v>
      </c>
      <c r="N49" s="29"/>
      <c r="O49" s="6"/>
    </row>
    <row r="50" spans="1:15" ht="15.75">
      <c r="A50" s="28"/>
      <c r="B50" s="29" t="s">
        <v>37</v>
      </c>
      <c r="C50" s="29"/>
      <c r="D50" s="29"/>
      <c r="E50" s="29"/>
      <c r="F50" s="29"/>
      <c r="G50" s="29"/>
      <c r="H50" s="29"/>
      <c r="I50" s="29"/>
      <c r="J50" s="29"/>
      <c r="K50" s="58"/>
      <c r="L50" s="59"/>
      <c r="M50" s="58">
        <v>38294</v>
      </c>
      <c r="N50" s="29"/>
      <c r="O50" s="6"/>
    </row>
    <row r="51" spans="1:15" ht="15.75">
      <c r="A51" s="28"/>
      <c r="B51" s="29"/>
      <c r="C51" s="29"/>
      <c r="D51" s="29"/>
      <c r="E51" s="29"/>
      <c r="F51" s="29"/>
      <c r="G51" s="29"/>
      <c r="H51" s="29"/>
      <c r="I51" s="29"/>
      <c r="J51" s="29"/>
      <c r="K51" s="29"/>
      <c r="L51" s="29"/>
      <c r="M51" s="60"/>
      <c r="N51" s="29"/>
      <c r="O51" s="6"/>
    </row>
    <row r="52" spans="1:15" ht="15.75">
      <c r="A52" s="7"/>
      <c r="B52" s="9"/>
      <c r="C52" s="9"/>
      <c r="D52" s="9"/>
      <c r="E52" s="9"/>
      <c r="F52" s="9"/>
      <c r="G52" s="9"/>
      <c r="H52" s="9"/>
      <c r="I52" s="9"/>
      <c r="J52" s="9"/>
      <c r="K52" s="9"/>
      <c r="L52" s="9"/>
      <c r="M52" s="61"/>
      <c r="N52" s="9"/>
      <c r="O52" s="6"/>
    </row>
    <row r="53" spans="1:15" ht="16.5" thickBot="1">
      <c r="A53" s="134"/>
      <c r="B53" s="135" t="s">
        <v>249</v>
      </c>
      <c r="C53" s="136"/>
      <c r="D53" s="136"/>
      <c r="E53" s="136"/>
      <c r="F53" s="136"/>
      <c r="G53" s="136"/>
      <c r="H53" s="136"/>
      <c r="I53" s="136"/>
      <c r="J53" s="136"/>
      <c r="K53" s="136"/>
      <c r="L53" s="136"/>
      <c r="M53" s="137"/>
      <c r="N53" s="138"/>
      <c r="O53" s="6"/>
    </row>
    <row r="54" spans="1:15" ht="15.75">
      <c r="A54" s="2"/>
      <c r="B54" s="5"/>
      <c r="C54" s="5"/>
      <c r="D54" s="5"/>
      <c r="E54" s="5"/>
      <c r="F54" s="5"/>
      <c r="G54" s="5"/>
      <c r="H54" s="5"/>
      <c r="I54" s="5"/>
      <c r="J54" s="5"/>
      <c r="K54" s="5"/>
      <c r="L54" s="5"/>
      <c r="M54" s="62"/>
      <c r="N54" s="5"/>
      <c r="O54" s="6"/>
    </row>
    <row r="55" spans="1:15" ht="15" customHeight="1">
      <c r="A55" s="7"/>
      <c r="B55" s="63" t="s">
        <v>39</v>
      </c>
      <c r="C55" s="15"/>
      <c r="D55" s="15"/>
      <c r="E55" s="9"/>
      <c r="F55" s="9"/>
      <c r="G55" s="9"/>
      <c r="H55" s="9"/>
      <c r="I55" s="9"/>
      <c r="J55" s="9"/>
      <c r="K55" s="9"/>
      <c r="L55" s="9"/>
      <c r="M55" s="64"/>
      <c r="N55" s="9"/>
      <c r="O55" s="6"/>
    </row>
    <row r="56" spans="1:15" ht="15.75">
      <c r="A56" s="7"/>
      <c r="B56" s="15"/>
      <c r="C56" s="15"/>
      <c r="D56" s="15"/>
      <c r="E56" s="9"/>
      <c r="F56" s="9"/>
      <c r="G56" s="9"/>
      <c r="H56" s="9"/>
      <c r="I56" s="9"/>
      <c r="J56" s="9"/>
      <c r="K56" s="9"/>
      <c r="L56" s="9"/>
      <c r="M56" s="64"/>
      <c r="N56" s="9"/>
      <c r="O56" s="6"/>
    </row>
    <row r="57" spans="1:15" s="156" customFormat="1" ht="47.25">
      <c r="A57" s="150"/>
      <c r="B57" s="151" t="s">
        <v>40</v>
      </c>
      <c r="C57" s="152" t="s">
        <v>167</v>
      </c>
      <c r="D57" s="152"/>
      <c r="E57" s="152" t="s">
        <v>180</v>
      </c>
      <c r="F57" s="152"/>
      <c r="G57" s="152" t="s">
        <v>191</v>
      </c>
      <c r="H57" s="152"/>
      <c r="I57" s="152" t="s">
        <v>204</v>
      </c>
      <c r="J57" s="152"/>
      <c r="K57" s="152" t="s">
        <v>209</v>
      </c>
      <c r="L57" s="152"/>
      <c r="M57" s="153" t="s">
        <v>222</v>
      </c>
      <c r="N57" s="154"/>
      <c r="O57" s="155"/>
    </row>
    <row r="58" spans="1:15" ht="15.75">
      <c r="A58" s="28"/>
      <c r="B58" s="29" t="s">
        <v>41</v>
      </c>
      <c r="C58" s="65">
        <v>73021</v>
      </c>
      <c r="D58" s="65"/>
      <c r="E58" s="65">
        <v>109603</v>
      </c>
      <c r="F58" s="65"/>
      <c r="G58" s="65">
        <v>109603</v>
      </c>
      <c r="H58" s="65"/>
      <c r="I58" s="65">
        <v>0</v>
      </c>
      <c r="J58" s="65"/>
      <c r="K58" s="65">
        <v>0</v>
      </c>
      <c r="L58" s="65"/>
      <c r="M58" s="66">
        <f>E58-G58+I58-K58</f>
        <v>0</v>
      </c>
      <c r="N58" s="29"/>
      <c r="O58" s="6"/>
    </row>
    <row r="59" spans="1:15" ht="15.75">
      <c r="A59" s="28"/>
      <c r="B59" s="29" t="s">
        <v>42</v>
      </c>
      <c r="C59" s="65">
        <v>506</v>
      </c>
      <c r="D59" s="65"/>
      <c r="E59" s="65">
        <v>0</v>
      </c>
      <c r="F59" s="65"/>
      <c r="G59" s="65">
        <v>0</v>
      </c>
      <c r="H59" s="65"/>
      <c r="I59" s="65">
        <v>0</v>
      </c>
      <c r="J59" s="65"/>
      <c r="K59" s="65">
        <v>0</v>
      </c>
      <c r="L59" s="65"/>
      <c r="M59" s="66">
        <f>E59-G59+I59-K59</f>
        <v>0</v>
      </c>
      <c r="N59" s="29"/>
      <c r="O59" s="6"/>
    </row>
    <row r="60" spans="1:15" ht="15.75">
      <c r="A60" s="28"/>
      <c r="B60" s="29"/>
      <c r="C60" s="65"/>
      <c r="D60" s="65"/>
      <c r="E60" s="65"/>
      <c r="F60" s="65"/>
      <c r="G60" s="65"/>
      <c r="H60" s="65"/>
      <c r="I60" s="65"/>
      <c r="J60" s="65"/>
      <c r="K60" s="65"/>
      <c r="L60" s="65"/>
      <c r="M60" s="66"/>
      <c r="N60" s="29"/>
      <c r="O60" s="6"/>
    </row>
    <row r="61" spans="1:15" ht="15.75">
      <c r="A61" s="28"/>
      <c r="B61" s="29" t="s">
        <v>43</v>
      </c>
      <c r="C61" s="65">
        <f>SUM(C58:C60)</f>
        <v>73527</v>
      </c>
      <c r="D61" s="65"/>
      <c r="E61" s="65">
        <f>SUM(E58:E60)</f>
        <v>109603</v>
      </c>
      <c r="F61" s="65"/>
      <c r="G61" s="65">
        <f>SUM(G58:G60)</f>
        <v>109603</v>
      </c>
      <c r="H61" s="65"/>
      <c r="I61" s="65">
        <f>SUM(I58:I60)</f>
        <v>0</v>
      </c>
      <c r="J61" s="65"/>
      <c r="K61" s="65">
        <f>SUM(K58:K60)</f>
        <v>0</v>
      </c>
      <c r="L61" s="65"/>
      <c r="M61" s="67">
        <f>SUM(M58:M60)</f>
        <v>0</v>
      </c>
      <c r="N61" s="29"/>
      <c r="O61" s="6"/>
    </row>
    <row r="62" spans="1:15" ht="15.75">
      <c r="A62" s="28"/>
      <c r="B62" s="29"/>
      <c r="C62" s="65"/>
      <c r="D62" s="65"/>
      <c r="E62" s="65"/>
      <c r="F62" s="65"/>
      <c r="G62" s="65"/>
      <c r="H62" s="65"/>
      <c r="I62" s="65"/>
      <c r="J62" s="65"/>
      <c r="K62" s="65"/>
      <c r="L62" s="65"/>
      <c r="M62" s="67"/>
      <c r="N62" s="29"/>
      <c r="O62" s="6"/>
    </row>
    <row r="63" spans="1:15" ht="15.75">
      <c r="A63" s="7"/>
      <c r="B63" s="144" t="s">
        <v>44</v>
      </c>
      <c r="C63" s="68"/>
      <c r="D63" s="68"/>
      <c r="E63" s="68"/>
      <c r="F63" s="68"/>
      <c r="G63" s="69"/>
      <c r="H63" s="68"/>
      <c r="I63" s="68"/>
      <c r="J63" s="68"/>
      <c r="K63" s="68"/>
      <c r="L63" s="68"/>
      <c r="M63" s="70"/>
      <c r="N63" s="9"/>
      <c r="O63" s="6"/>
    </row>
    <row r="64" spans="1:15" ht="15.75">
      <c r="A64" s="7"/>
      <c r="B64" s="9"/>
      <c r="C64" s="68"/>
      <c r="D64" s="68"/>
      <c r="E64" s="68"/>
      <c r="F64" s="68"/>
      <c r="G64" s="68"/>
      <c r="H64" s="68"/>
      <c r="I64" s="68"/>
      <c r="J64" s="68"/>
      <c r="K64" s="68"/>
      <c r="L64" s="68"/>
      <c r="M64" s="70"/>
      <c r="N64" s="9"/>
      <c r="O64" s="6"/>
    </row>
    <row r="65" spans="1:15" ht="15.75">
      <c r="A65" s="28"/>
      <c r="B65" s="29" t="s">
        <v>41</v>
      </c>
      <c r="C65" s="65">
        <v>79997</v>
      </c>
      <c r="D65" s="65"/>
      <c r="E65" s="66">
        <v>56363</v>
      </c>
      <c r="F65" s="65"/>
      <c r="G65" s="65">
        <v>56363</v>
      </c>
      <c r="H65" s="65"/>
      <c r="I65" s="65">
        <v>0</v>
      </c>
      <c r="J65" s="65"/>
      <c r="K65" s="65"/>
      <c r="L65" s="65"/>
      <c r="M65" s="66">
        <f>E65-G65+I65-K65</f>
        <v>0</v>
      </c>
      <c r="N65" s="29"/>
      <c r="O65" s="6"/>
    </row>
    <row r="66" spans="1:15" ht="15.75">
      <c r="A66" s="28"/>
      <c r="B66" s="29" t="s">
        <v>42</v>
      </c>
      <c r="C66" s="65">
        <v>611</v>
      </c>
      <c r="D66" s="65"/>
      <c r="E66" s="66">
        <v>0</v>
      </c>
      <c r="F66" s="65"/>
      <c r="G66" s="65">
        <v>0</v>
      </c>
      <c r="H66" s="65"/>
      <c r="I66" s="65">
        <v>0</v>
      </c>
      <c r="J66" s="65"/>
      <c r="K66" s="65"/>
      <c r="L66" s="65"/>
      <c r="M66" s="66">
        <f>E66-G66+I66-K66</f>
        <v>0</v>
      </c>
      <c r="N66" s="29"/>
      <c r="O66" s="6"/>
    </row>
    <row r="67" spans="1:15" ht="15.75">
      <c r="A67" s="28"/>
      <c r="B67" s="65"/>
      <c r="C67" s="65"/>
      <c r="D67" s="65"/>
      <c r="E67" s="66"/>
      <c r="F67" s="65"/>
      <c r="G67" s="65"/>
      <c r="H67" s="65"/>
      <c r="I67" s="65"/>
      <c r="J67" s="65"/>
      <c r="K67" s="65"/>
      <c r="L67" s="65"/>
      <c r="M67" s="66"/>
      <c r="N67" s="29"/>
      <c r="O67" s="6"/>
    </row>
    <row r="68" spans="1:15" ht="15.75">
      <c r="A68" s="28"/>
      <c r="B68" s="29" t="s">
        <v>43</v>
      </c>
      <c r="C68" s="65">
        <f>SUM(C65:C67)</f>
        <v>80608</v>
      </c>
      <c r="D68" s="65"/>
      <c r="E68" s="65">
        <f>E65</f>
        <v>56363</v>
      </c>
      <c r="F68" s="65"/>
      <c r="G68" s="65">
        <f>SUM(G65:G67)</f>
        <v>56363</v>
      </c>
      <c r="H68" s="65"/>
      <c r="I68" s="65">
        <f>SUM(I65:I67)</f>
        <v>0</v>
      </c>
      <c r="J68" s="65"/>
      <c r="K68" s="65">
        <f>SUM(K65:K67)</f>
        <v>0</v>
      </c>
      <c r="L68" s="65"/>
      <c r="M68" s="65">
        <f>SUM(M65:M67)</f>
        <v>0</v>
      </c>
      <c r="N68" s="29"/>
      <c r="O68" s="6"/>
    </row>
    <row r="69" spans="1:15" ht="15.75">
      <c r="A69" s="28"/>
      <c r="B69" s="29"/>
      <c r="C69" s="65"/>
      <c r="D69" s="65"/>
      <c r="E69" s="67"/>
      <c r="F69" s="65"/>
      <c r="G69" s="65"/>
      <c r="H69" s="65"/>
      <c r="I69" s="65"/>
      <c r="J69" s="65"/>
      <c r="K69" s="65"/>
      <c r="L69" s="65"/>
      <c r="M69" s="67"/>
      <c r="N69" s="29"/>
      <c r="O69" s="6"/>
    </row>
    <row r="70" spans="1:15" ht="15.75">
      <c r="A70" s="28"/>
      <c r="B70" s="29" t="s">
        <v>45</v>
      </c>
      <c r="C70" s="65">
        <v>0</v>
      </c>
      <c r="D70" s="65"/>
      <c r="E70" s="65">
        <v>0</v>
      </c>
      <c r="F70" s="65"/>
      <c r="G70" s="65"/>
      <c r="H70" s="65"/>
      <c r="I70" s="65"/>
      <c r="J70" s="65"/>
      <c r="K70" s="65"/>
      <c r="L70" s="65"/>
      <c r="M70" s="65">
        <f>E70+G70</f>
        <v>0</v>
      </c>
      <c r="N70" s="29"/>
      <c r="O70" s="6"/>
    </row>
    <row r="71" spans="1:16" ht="15.75">
      <c r="A71" s="28"/>
      <c r="B71" s="29" t="s">
        <v>46</v>
      </c>
      <c r="C71" s="65">
        <v>0</v>
      </c>
      <c r="D71" s="65"/>
      <c r="E71" s="67">
        <v>2926</v>
      </c>
      <c r="F71" s="65"/>
      <c r="G71" s="65">
        <v>2926</v>
      </c>
      <c r="H71" s="65"/>
      <c r="I71" s="65"/>
      <c r="J71" s="65"/>
      <c r="K71" s="65"/>
      <c r="L71" s="65"/>
      <c r="M71" s="67">
        <f>E71+I71-G71</f>
        <v>0</v>
      </c>
      <c r="N71" s="29"/>
      <c r="O71" s="6"/>
      <c r="P71" s="143"/>
    </row>
    <row r="72" spans="1:18" ht="15.75">
      <c r="A72" s="28"/>
      <c r="B72" s="29" t="s">
        <v>253</v>
      </c>
      <c r="C72" s="65">
        <v>40958</v>
      </c>
      <c r="D72" s="65"/>
      <c r="E72" s="67">
        <v>19784</v>
      </c>
      <c r="F72" s="65"/>
      <c r="G72" s="65">
        <f>G68+G61</f>
        <v>165966</v>
      </c>
      <c r="H72" s="65"/>
      <c r="I72" s="65"/>
      <c r="J72" s="65"/>
      <c r="K72" s="65"/>
      <c r="L72" s="65"/>
      <c r="M72" s="67">
        <f>E72+G91+I72</f>
        <v>197924</v>
      </c>
      <c r="N72" s="29"/>
      <c r="O72" s="6"/>
      <c r="P72" s="131"/>
      <c r="R72" s="132"/>
    </row>
    <row r="73" spans="1:16" ht="15.75">
      <c r="A73" s="28"/>
      <c r="B73" s="29" t="s">
        <v>48</v>
      </c>
      <c r="C73" s="65">
        <v>0</v>
      </c>
      <c r="D73" s="65"/>
      <c r="E73" s="67">
        <v>9343</v>
      </c>
      <c r="F73" s="65"/>
      <c r="G73" s="65">
        <v>9343</v>
      </c>
      <c r="H73" s="65"/>
      <c r="I73" s="65"/>
      <c r="J73" s="65"/>
      <c r="K73" s="65"/>
      <c r="L73" s="65"/>
      <c r="M73" s="67">
        <f>-I73+E73-G73</f>
        <v>0</v>
      </c>
      <c r="N73" s="29"/>
      <c r="O73" s="6"/>
      <c r="P73" s="132"/>
    </row>
    <row r="74" spans="1:20" ht="15.75">
      <c r="A74" s="28"/>
      <c r="B74" s="29" t="s">
        <v>49</v>
      </c>
      <c r="C74" s="65">
        <v>-95</v>
      </c>
      <c r="D74" s="65"/>
      <c r="E74" s="67">
        <v>-95</v>
      </c>
      <c r="F74" s="65"/>
      <c r="G74" s="65">
        <v>-95</v>
      </c>
      <c r="H74" s="65"/>
      <c r="I74" s="65"/>
      <c r="J74" s="65"/>
      <c r="K74" s="65"/>
      <c r="L74" s="65"/>
      <c r="M74" s="67">
        <f>+E74-G74</f>
        <v>0</v>
      </c>
      <c r="N74" s="29"/>
      <c r="O74" s="6"/>
      <c r="P74" s="131"/>
      <c r="R74" s="131"/>
      <c r="T74" s="131"/>
    </row>
    <row r="75" spans="1:16" ht="15.75">
      <c r="A75" s="28"/>
      <c r="B75" s="29" t="s">
        <v>50</v>
      </c>
      <c r="C75" s="65">
        <v>0</v>
      </c>
      <c r="D75" s="65"/>
      <c r="E75" s="67">
        <v>0</v>
      </c>
      <c r="F75" s="65"/>
      <c r="G75" s="65"/>
      <c r="H75" s="65"/>
      <c r="I75" s="141"/>
      <c r="J75" s="65"/>
      <c r="K75" s="65"/>
      <c r="L75" s="65"/>
      <c r="M75" s="67">
        <v>0</v>
      </c>
      <c r="N75" s="29"/>
      <c r="O75" s="6"/>
      <c r="P75" s="132"/>
    </row>
    <row r="76" spans="1:16" ht="15.75">
      <c r="A76" s="28"/>
      <c r="B76" s="29" t="s">
        <v>254</v>
      </c>
      <c r="C76" s="65">
        <v>0</v>
      </c>
      <c r="D76" s="65"/>
      <c r="E76" s="67">
        <v>0</v>
      </c>
      <c r="F76" s="65"/>
      <c r="G76" s="65">
        <f>-C77</f>
        <v>-194998</v>
      </c>
      <c r="H76" s="65"/>
      <c r="I76" s="141"/>
      <c r="J76" s="65"/>
      <c r="K76" s="65"/>
      <c r="L76" s="65"/>
      <c r="M76" s="67">
        <f>+G76</f>
        <v>-194998</v>
      </c>
      <c r="N76" s="29"/>
      <c r="O76" s="6"/>
      <c r="P76" s="132"/>
    </row>
    <row r="77" spans="1:20" ht="15.75">
      <c r="A77" s="28"/>
      <c r="B77" s="29" t="s">
        <v>19</v>
      </c>
      <c r="C77" s="67">
        <f>SUM(C68:C74)+C61</f>
        <v>194998</v>
      </c>
      <c r="D77" s="67"/>
      <c r="E77" s="67">
        <f>SUM(E68:E76)+E61</f>
        <v>197924</v>
      </c>
      <c r="F77" s="65"/>
      <c r="G77" s="65"/>
      <c r="H77" s="65"/>
      <c r="I77" s="65"/>
      <c r="J77" s="65"/>
      <c r="K77" s="65"/>
      <c r="L77" s="65"/>
      <c r="M77" s="67">
        <f>SUM(M68:M76)+M61</f>
        <v>2926</v>
      </c>
      <c r="N77" s="29"/>
      <c r="O77" s="6"/>
      <c r="P77" s="132"/>
      <c r="R77" s="131"/>
      <c r="T77" s="131"/>
    </row>
    <row r="78" spans="1:16" ht="15.75">
      <c r="A78" s="28"/>
      <c r="B78" s="65"/>
      <c r="C78" s="65"/>
      <c r="D78" s="65"/>
      <c r="E78" s="65"/>
      <c r="F78" s="65"/>
      <c r="G78" s="65"/>
      <c r="H78" s="65"/>
      <c r="I78" s="65"/>
      <c r="J78" s="65"/>
      <c r="K78" s="65"/>
      <c r="L78" s="65"/>
      <c r="M78" s="65"/>
      <c r="N78" s="29"/>
      <c r="O78" s="6"/>
      <c r="P78" s="132"/>
    </row>
    <row r="79" spans="1:16" ht="15.75">
      <c r="A79" s="7"/>
      <c r="B79" s="68"/>
      <c r="C79" s="9"/>
      <c r="D79" s="9"/>
      <c r="E79" s="9"/>
      <c r="F79" s="9"/>
      <c r="G79" s="20" t="s">
        <v>192</v>
      </c>
      <c r="H79" s="9"/>
      <c r="I79" s="9"/>
      <c r="J79" s="9"/>
      <c r="K79" s="23"/>
      <c r="L79" s="9"/>
      <c r="M79" s="20" t="s">
        <v>192</v>
      </c>
      <c r="N79" s="9"/>
      <c r="O79" s="6"/>
      <c r="P79" s="132"/>
    </row>
    <row r="80" spans="1:19" ht="15.75">
      <c r="A80" s="7"/>
      <c r="B80" s="63" t="s">
        <v>51</v>
      </c>
      <c r="C80" s="17"/>
      <c r="D80" s="17" t="s">
        <v>178</v>
      </c>
      <c r="E80" s="17" t="s">
        <v>181</v>
      </c>
      <c r="F80" s="17"/>
      <c r="G80" s="20" t="s">
        <v>193</v>
      </c>
      <c r="H80" s="17"/>
      <c r="I80" s="17" t="s">
        <v>178</v>
      </c>
      <c r="J80" s="20"/>
      <c r="K80" s="20" t="s">
        <v>181</v>
      </c>
      <c r="L80" s="20"/>
      <c r="M80" s="20" t="s">
        <v>223</v>
      </c>
      <c r="N80" s="17"/>
      <c r="O80" s="6"/>
      <c r="P80" s="131"/>
      <c r="R80" s="132"/>
      <c r="S80" s="131"/>
    </row>
    <row r="81" spans="1:15" ht="15.75">
      <c r="A81" s="28"/>
      <c r="B81" s="29" t="s">
        <v>52</v>
      </c>
      <c r="C81" s="29"/>
      <c r="D81" s="29">
        <v>0</v>
      </c>
      <c r="E81" s="29">
        <v>0</v>
      </c>
      <c r="F81" s="29"/>
      <c r="G81" s="65">
        <f>SUM(C81:E81)</f>
        <v>0</v>
      </c>
      <c r="H81" s="29"/>
      <c r="I81" s="29">
        <v>0</v>
      </c>
      <c r="J81" s="29"/>
      <c r="K81" s="65">
        <f>SUM(G81:I81)</f>
        <v>0</v>
      </c>
      <c r="L81" s="29"/>
      <c r="M81" s="66">
        <v>0</v>
      </c>
      <c r="N81" s="29"/>
      <c r="O81" s="6"/>
    </row>
    <row r="82" spans="1:15" ht="15.75">
      <c r="A82" s="28"/>
      <c r="B82" s="29" t="s">
        <v>255</v>
      </c>
      <c r="C82" s="53"/>
      <c r="D82" s="65"/>
      <c r="E82" s="65"/>
      <c r="F82" s="29"/>
      <c r="G82" s="65">
        <f>SUM(G71:G74)</f>
        <v>178140</v>
      </c>
      <c r="H82" s="29"/>
      <c r="I82" s="29"/>
      <c r="J82" s="29"/>
      <c r="K82" s="65">
        <v>0</v>
      </c>
      <c r="L82" s="29"/>
      <c r="M82" s="66"/>
      <c r="N82" s="29"/>
      <c r="O82" s="6"/>
    </row>
    <row r="83" spans="1:15" ht="15.75">
      <c r="A83" s="28"/>
      <c r="B83" s="29" t="s">
        <v>54</v>
      </c>
      <c r="C83" s="29"/>
      <c r="D83" s="29"/>
      <c r="E83" s="29"/>
      <c r="F83" s="29"/>
      <c r="G83" s="65"/>
      <c r="H83" s="29"/>
      <c r="I83" s="29">
        <f>1636+285+1737+430+1654+366+47-2095</f>
        <v>4060</v>
      </c>
      <c r="J83" s="29"/>
      <c r="K83" s="65">
        <f>2355+151+2317+161+2176+203-5317+57+29+41</f>
        <v>2173</v>
      </c>
      <c r="L83" s="29"/>
      <c r="M83" s="66">
        <f>K83+I83</f>
        <v>6233</v>
      </c>
      <c r="N83" s="29"/>
      <c r="O83" s="6"/>
    </row>
    <row r="84" spans="1:15" ht="15.75">
      <c r="A84" s="28"/>
      <c r="B84" s="29" t="s">
        <v>250</v>
      </c>
      <c r="C84" s="29"/>
      <c r="D84" s="29"/>
      <c r="E84" s="29"/>
      <c r="F84" s="29"/>
      <c r="G84" s="65"/>
      <c r="H84" s="29"/>
      <c r="I84" s="29"/>
      <c r="J84" s="29"/>
      <c r="K84" s="65"/>
      <c r="L84" s="29"/>
      <c r="M84" s="66">
        <f>+M127</f>
        <v>5852</v>
      </c>
      <c r="N84" s="29"/>
      <c r="O84" s="6"/>
    </row>
    <row r="85" spans="1:15" ht="15.75">
      <c r="A85" s="28"/>
      <c r="B85" s="29" t="s">
        <v>252</v>
      </c>
      <c r="C85" s="29"/>
      <c r="D85" s="29"/>
      <c r="E85" s="29"/>
      <c r="F85" s="29"/>
      <c r="G85" s="65"/>
      <c r="H85" s="29"/>
      <c r="I85" s="29"/>
      <c r="J85" s="29"/>
      <c r="K85" s="65"/>
      <c r="L85" s="29"/>
      <c r="M85" s="66">
        <f>+M77</f>
        <v>2926</v>
      </c>
      <c r="N85" s="29"/>
      <c r="O85" s="6"/>
    </row>
    <row r="86" spans="1:15" ht="15.75">
      <c r="A86" s="28"/>
      <c r="B86" s="29" t="s">
        <v>55</v>
      </c>
      <c r="C86" s="29"/>
      <c r="D86" s="29"/>
      <c r="E86" s="29"/>
      <c r="F86" s="29"/>
      <c r="G86" s="65"/>
      <c r="H86" s="29"/>
      <c r="I86" s="29"/>
      <c r="J86" s="29"/>
      <c r="K86" s="65"/>
      <c r="L86" s="29"/>
      <c r="M86" s="66">
        <f>211+86+120</f>
        <v>417</v>
      </c>
      <c r="N86" s="29"/>
      <c r="O86" s="6"/>
    </row>
    <row r="87" spans="1:20" ht="15.75">
      <c r="A87" s="28"/>
      <c r="B87" s="29" t="s">
        <v>56</v>
      </c>
      <c r="C87" s="29"/>
      <c r="D87" s="29"/>
      <c r="E87" s="29"/>
      <c r="F87" s="29"/>
      <c r="G87" s="65"/>
      <c r="H87" s="29"/>
      <c r="I87" s="29"/>
      <c r="J87" s="29"/>
      <c r="K87" s="65"/>
      <c r="L87" s="29"/>
      <c r="M87" s="66">
        <v>0</v>
      </c>
      <c r="N87" s="29"/>
      <c r="O87" s="6"/>
      <c r="P87" s="132"/>
      <c r="R87" s="132"/>
      <c r="T87" s="132"/>
    </row>
    <row r="88" spans="1:20" ht="15.75">
      <c r="A88" s="28"/>
      <c r="B88" s="29" t="s">
        <v>57</v>
      </c>
      <c r="C88" s="29"/>
      <c r="D88" s="29"/>
      <c r="E88" s="29"/>
      <c r="F88" s="29"/>
      <c r="G88" s="65"/>
      <c r="H88" s="29"/>
      <c r="I88" s="29"/>
      <c r="J88" s="29"/>
      <c r="K88" s="65"/>
      <c r="L88" s="29"/>
      <c r="M88" s="66">
        <v>0</v>
      </c>
      <c r="N88" s="29"/>
      <c r="O88" s="6"/>
      <c r="P88" s="132"/>
      <c r="R88" s="132"/>
      <c r="T88" s="132"/>
    </row>
    <row r="89" spans="1:15" ht="15.75">
      <c r="A89" s="28"/>
      <c r="B89" s="29" t="s">
        <v>58</v>
      </c>
      <c r="C89" s="29"/>
      <c r="D89" s="65">
        <f>SUM(D81:D88)</f>
        <v>0</v>
      </c>
      <c r="E89" s="65">
        <f>SUM(E81:E88)</f>
        <v>0</v>
      </c>
      <c r="F89" s="29"/>
      <c r="G89" s="65">
        <f>SUM(G81:G88)</f>
        <v>178140</v>
      </c>
      <c r="H89" s="29"/>
      <c r="I89" s="65">
        <f>SUM(I81:I88)</f>
        <v>4060</v>
      </c>
      <c r="J89" s="29"/>
      <c r="K89" s="65">
        <f>SUM(K81:K88)</f>
        <v>2173</v>
      </c>
      <c r="L89" s="29"/>
      <c r="M89" s="67">
        <f>SUM(M81:M88)</f>
        <v>15428</v>
      </c>
      <c r="N89" s="29"/>
      <c r="O89" s="6"/>
    </row>
    <row r="90" spans="1:20" ht="15.75">
      <c r="A90" s="28"/>
      <c r="B90" s="29" t="s">
        <v>59</v>
      </c>
      <c r="C90" s="29"/>
      <c r="D90" s="65">
        <f>G59</f>
        <v>0</v>
      </c>
      <c r="E90" s="65">
        <f>G66</f>
        <v>0</v>
      </c>
      <c r="F90" s="29"/>
      <c r="G90" s="65">
        <f>E90+D90</f>
        <v>0</v>
      </c>
      <c r="H90" s="29"/>
      <c r="I90" s="65">
        <v>0</v>
      </c>
      <c r="J90" s="29"/>
      <c r="K90" s="65">
        <v>0</v>
      </c>
      <c r="L90" s="29"/>
      <c r="M90" s="66">
        <f>-G90</f>
        <v>0</v>
      </c>
      <c r="N90" s="29"/>
      <c r="O90" s="6"/>
      <c r="P90" s="132"/>
      <c r="R90" s="132"/>
      <c r="T90" s="132"/>
    </row>
    <row r="91" spans="1:15" ht="15.75">
      <c r="A91" s="28"/>
      <c r="B91" s="29" t="s">
        <v>60</v>
      </c>
      <c r="C91" s="29"/>
      <c r="D91" s="65">
        <f>D89+D90</f>
        <v>0</v>
      </c>
      <c r="E91" s="65">
        <f>E89+E90</f>
        <v>0</v>
      </c>
      <c r="F91" s="29"/>
      <c r="G91" s="65">
        <f>G89+G90</f>
        <v>178140</v>
      </c>
      <c r="H91" s="29"/>
      <c r="I91" s="65">
        <f>I89+I90</f>
        <v>4060</v>
      </c>
      <c r="J91" s="29"/>
      <c r="K91" s="65">
        <f>K89+K90</f>
        <v>2173</v>
      </c>
      <c r="L91" s="29"/>
      <c r="M91" s="67">
        <f>M89+M90</f>
        <v>15428</v>
      </c>
      <c r="N91" s="29"/>
      <c r="O91" s="6"/>
    </row>
    <row r="92" spans="1:15" ht="15.75">
      <c r="A92" s="28"/>
      <c r="B92" s="157" t="s">
        <v>61</v>
      </c>
      <c r="C92" s="72"/>
      <c r="D92" s="72"/>
      <c r="E92" s="29"/>
      <c r="F92" s="29"/>
      <c r="G92" s="29"/>
      <c r="H92" s="29"/>
      <c r="I92" s="29"/>
      <c r="J92" s="29"/>
      <c r="K92" s="65"/>
      <c r="L92" s="29"/>
      <c r="M92" s="66"/>
      <c r="N92" s="29"/>
      <c r="O92" s="6"/>
    </row>
    <row r="93" spans="1:15" ht="15.75">
      <c r="A93" s="28">
        <v>1</v>
      </c>
      <c r="B93" s="29" t="s">
        <v>62</v>
      </c>
      <c r="C93" s="29"/>
      <c r="D93" s="29"/>
      <c r="E93" s="29"/>
      <c r="F93" s="29"/>
      <c r="G93" s="29"/>
      <c r="H93" s="29"/>
      <c r="I93" s="29"/>
      <c r="J93" s="29"/>
      <c r="K93" s="29"/>
      <c r="L93" s="29"/>
      <c r="M93" s="66">
        <v>-4</v>
      </c>
      <c r="N93" s="29"/>
      <c r="O93" s="6"/>
    </row>
    <row r="94" spans="1:15" ht="15.75">
      <c r="A94" s="28">
        <v>2</v>
      </c>
      <c r="B94" s="29" t="s">
        <v>63</v>
      </c>
      <c r="C94" s="29"/>
      <c r="D94" s="29"/>
      <c r="E94" s="29"/>
      <c r="F94" s="29"/>
      <c r="G94" s="29"/>
      <c r="H94" s="29"/>
      <c r="I94" s="29"/>
      <c r="J94" s="29"/>
      <c r="K94" s="29"/>
      <c r="L94" s="29"/>
      <c r="M94" s="66">
        <f>-212-60</f>
        <v>-272</v>
      </c>
      <c r="N94" s="29"/>
      <c r="O94" s="6"/>
    </row>
    <row r="95" spans="1:15" ht="15.75">
      <c r="A95" s="28">
        <v>3</v>
      </c>
      <c r="B95" s="29" t="s">
        <v>64</v>
      </c>
      <c r="C95" s="29"/>
      <c r="D95" s="29"/>
      <c r="E95" s="29"/>
      <c r="F95" s="29"/>
      <c r="G95" s="29"/>
      <c r="H95" s="29"/>
      <c r="I95" s="29"/>
      <c r="J95" s="29"/>
      <c r="K95" s="29"/>
      <c r="L95" s="29"/>
      <c r="M95" s="66">
        <v>-2244</v>
      </c>
      <c r="N95" s="29"/>
      <c r="O95" s="6"/>
    </row>
    <row r="96" spans="1:15" ht="15.75">
      <c r="A96" s="28">
        <v>4</v>
      </c>
      <c r="B96" s="29" t="s">
        <v>227</v>
      </c>
      <c r="C96" s="29"/>
      <c r="D96" s="29"/>
      <c r="E96" s="29"/>
      <c r="F96" s="29"/>
      <c r="G96" s="29"/>
      <c r="H96" s="29"/>
      <c r="I96" s="29"/>
      <c r="J96" s="29"/>
      <c r="K96" s="29"/>
      <c r="L96" s="29"/>
      <c r="M96" s="66">
        <v>7</v>
      </c>
      <c r="N96" s="29"/>
      <c r="O96" s="6"/>
    </row>
    <row r="97" spans="1:15" ht="15.75">
      <c r="A97" s="28">
        <v>4</v>
      </c>
      <c r="B97" s="29" t="s">
        <v>65</v>
      </c>
      <c r="C97" s="29"/>
      <c r="D97" s="29"/>
      <c r="E97" s="29"/>
      <c r="F97" s="29"/>
      <c r="G97" s="29"/>
      <c r="H97" s="29"/>
      <c r="I97" s="29"/>
      <c r="J97" s="29"/>
      <c r="K97" s="29"/>
      <c r="L97" s="29"/>
      <c r="M97" s="66">
        <v>-5</v>
      </c>
      <c r="N97" s="29"/>
      <c r="O97" s="6"/>
    </row>
    <row r="98" spans="1:15" ht="15.75">
      <c r="A98" s="28">
        <v>5</v>
      </c>
      <c r="B98" s="29" t="s">
        <v>66</v>
      </c>
      <c r="C98" s="29"/>
      <c r="D98" s="29"/>
      <c r="E98" s="29"/>
      <c r="F98" s="29"/>
      <c r="G98" s="29"/>
      <c r="H98" s="29"/>
      <c r="I98" s="29"/>
      <c r="J98" s="29"/>
      <c r="K98" s="29"/>
      <c r="L98" s="29"/>
      <c r="M98" s="66">
        <v>-237</v>
      </c>
      <c r="N98" s="29"/>
      <c r="O98" s="6"/>
    </row>
    <row r="99" spans="1:15" ht="15.75">
      <c r="A99" s="28">
        <v>6</v>
      </c>
      <c r="B99" s="29" t="s">
        <v>67</v>
      </c>
      <c r="C99" s="29"/>
      <c r="D99" s="29"/>
      <c r="E99" s="29"/>
      <c r="F99" s="29"/>
      <c r="G99" s="29"/>
      <c r="H99" s="29"/>
      <c r="I99" s="29"/>
      <c r="J99" s="29"/>
      <c r="K99" s="29"/>
      <c r="L99" s="29"/>
      <c r="M99" s="66">
        <v>-164</v>
      </c>
      <c r="N99" s="29"/>
      <c r="O99" s="6"/>
    </row>
    <row r="100" spans="1:15" ht="15.75">
      <c r="A100" s="28">
        <v>7</v>
      </c>
      <c r="B100" s="29" t="s">
        <v>68</v>
      </c>
      <c r="C100" s="29"/>
      <c r="D100" s="29"/>
      <c r="E100" s="29"/>
      <c r="F100" s="29"/>
      <c r="G100" s="29"/>
      <c r="H100" s="29"/>
      <c r="I100" s="29"/>
      <c r="J100" s="29"/>
      <c r="K100" s="29"/>
      <c r="L100" s="29"/>
      <c r="M100" s="66">
        <v>0</v>
      </c>
      <c r="N100" s="29"/>
      <c r="O100" s="6"/>
    </row>
    <row r="101" spans="1:15" ht="15.75">
      <c r="A101" s="28">
        <v>8</v>
      </c>
      <c r="B101" s="29" t="s">
        <v>69</v>
      </c>
      <c r="C101" s="29"/>
      <c r="D101" s="29"/>
      <c r="E101" s="29"/>
      <c r="F101" s="29"/>
      <c r="G101" s="29"/>
      <c r="H101" s="29"/>
      <c r="I101" s="29"/>
      <c r="J101" s="29"/>
      <c r="K101" s="65">
        <f>-M101</f>
        <v>0</v>
      </c>
      <c r="L101" s="29"/>
      <c r="M101" s="66">
        <f>I73</f>
        <v>0</v>
      </c>
      <c r="N101" s="29"/>
      <c r="O101" s="6"/>
    </row>
    <row r="102" spans="1:15" ht="15.75">
      <c r="A102" s="28">
        <v>9</v>
      </c>
      <c r="B102" s="29" t="s">
        <v>46</v>
      </c>
      <c r="C102" s="29"/>
      <c r="D102" s="29"/>
      <c r="E102" s="29"/>
      <c r="F102" s="29"/>
      <c r="G102" s="29"/>
      <c r="H102" s="29"/>
      <c r="I102" s="29"/>
      <c r="J102" s="29"/>
      <c r="K102" s="65">
        <f>-M102</f>
        <v>0</v>
      </c>
      <c r="L102" s="29"/>
      <c r="M102" s="66">
        <v>0</v>
      </c>
      <c r="N102" s="29"/>
      <c r="O102" s="6"/>
    </row>
    <row r="103" spans="1:15" ht="15.75">
      <c r="A103" s="28">
        <v>10</v>
      </c>
      <c r="B103" s="29" t="s">
        <v>228</v>
      </c>
      <c r="C103" s="29"/>
      <c r="D103" s="29"/>
      <c r="E103" s="29"/>
      <c r="F103" s="29"/>
      <c r="G103" s="29"/>
      <c r="H103" s="29"/>
      <c r="I103" s="29"/>
      <c r="J103" s="29"/>
      <c r="K103" s="29"/>
      <c r="L103" s="29"/>
      <c r="M103" s="66">
        <v>-63</v>
      </c>
      <c r="N103" s="29"/>
      <c r="O103" s="6"/>
    </row>
    <row r="104" spans="1:15" ht="15.75">
      <c r="A104" s="28">
        <v>11</v>
      </c>
      <c r="B104" s="29" t="s">
        <v>71</v>
      </c>
      <c r="C104" s="29"/>
      <c r="D104" s="29"/>
      <c r="E104" s="29"/>
      <c r="F104" s="29"/>
      <c r="G104" s="29"/>
      <c r="H104" s="29"/>
      <c r="I104" s="29"/>
      <c r="J104" s="29"/>
      <c r="K104" s="29"/>
      <c r="L104" s="29"/>
      <c r="M104" s="66">
        <f>SUM(M91:M103)*-1</f>
        <v>-12446</v>
      </c>
      <c r="N104" s="29"/>
      <c r="O104" s="6"/>
    </row>
    <row r="105" spans="1:16" ht="15.75">
      <c r="A105" s="28"/>
      <c r="B105" s="157" t="s">
        <v>72</v>
      </c>
      <c r="C105" s="72"/>
      <c r="D105" s="72"/>
      <c r="E105" s="29"/>
      <c r="F105" s="29"/>
      <c r="G105" s="29"/>
      <c r="H105" s="29"/>
      <c r="I105" s="29"/>
      <c r="J105" s="29"/>
      <c r="K105" s="29"/>
      <c r="L105" s="29"/>
      <c r="M105" s="73"/>
      <c r="N105" s="29"/>
      <c r="O105" s="6"/>
      <c r="P105" s="132"/>
    </row>
    <row r="106" spans="1:15" ht="15.75">
      <c r="A106" s="28"/>
      <c r="B106" s="74" t="s">
        <v>73</v>
      </c>
      <c r="C106" s="72"/>
      <c r="D106" s="72"/>
      <c r="E106" s="29"/>
      <c r="F106" s="29"/>
      <c r="G106" s="29"/>
      <c r="H106" s="29"/>
      <c r="I106" s="29"/>
      <c r="J106" s="29"/>
      <c r="K106" s="65">
        <f>E72</f>
        <v>19784</v>
      </c>
      <c r="L106" s="29"/>
      <c r="M106" s="73"/>
      <c r="N106" s="29"/>
      <c r="O106" s="6"/>
    </row>
    <row r="107" spans="1:15" ht="15.75">
      <c r="A107" s="28"/>
      <c r="B107" s="74" t="s">
        <v>74</v>
      </c>
      <c r="C107" s="72"/>
      <c r="D107" s="72"/>
      <c r="E107" s="29"/>
      <c r="F107" s="29"/>
      <c r="G107" s="29"/>
      <c r="H107" s="29"/>
      <c r="I107" s="29"/>
      <c r="J107" s="29"/>
      <c r="K107" s="65">
        <f>G91</f>
        <v>178140</v>
      </c>
      <c r="L107" s="29"/>
      <c r="M107" s="73"/>
      <c r="N107" s="29"/>
      <c r="O107" s="6"/>
    </row>
    <row r="108" spans="1:15" ht="15.75">
      <c r="A108" s="142"/>
      <c r="B108" s="29" t="s">
        <v>75</v>
      </c>
      <c r="C108" s="72"/>
      <c r="D108" s="72"/>
      <c r="E108" s="29"/>
      <c r="F108" s="29"/>
      <c r="G108" s="29"/>
      <c r="H108" s="29"/>
      <c r="I108" s="29"/>
      <c r="J108" s="29"/>
      <c r="K108" s="65">
        <f>-I68-I61</f>
        <v>0</v>
      </c>
      <c r="L108" s="29"/>
      <c r="M108" s="73"/>
      <c r="N108" s="29"/>
      <c r="O108" s="6"/>
    </row>
    <row r="109" spans="1:15" ht="15.75">
      <c r="A109" s="28"/>
      <c r="B109" s="29" t="s">
        <v>76</v>
      </c>
      <c r="C109" s="72"/>
      <c r="D109" s="72"/>
      <c r="E109" s="29"/>
      <c r="F109" s="29"/>
      <c r="G109" s="29"/>
      <c r="H109" s="29"/>
      <c r="I109" s="29"/>
      <c r="J109" s="29"/>
      <c r="K109" s="65">
        <v>0</v>
      </c>
      <c r="L109" s="65"/>
      <c r="M109" s="66"/>
      <c r="N109" s="29"/>
      <c r="O109" s="6"/>
    </row>
    <row r="110" spans="1:15" ht="15.75">
      <c r="A110" s="28"/>
      <c r="B110" s="29" t="s">
        <v>77</v>
      </c>
      <c r="C110" s="29"/>
      <c r="D110" s="29"/>
      <c r="E110" s="29"/>
      <c r="F110" s="29"/>
      <c r="G110" s="29"/>
      <c r="H110" s="29"/>
      <c r="I110" s="29"/>
      <c r="J110" s="29"/>
      <c r="K110" s="65">
        <v>0</v>
      </c>
      <c r="L110" s="65"/>
      <c r="M110" s="66"/>
      <c r="N110" s="29"/>
      <c r="O110" s="6"/>
    </row>
    <row r="111" spans="1:15" ht="15.75">
      <c r="A111" s="28"/>
      <c r="B111" s="29" t="s">
        <v>78</v>
      </c>
      <c r="C111" s="29"/>
      <c r="D111" s="29"/>
      <c r="E111" s="29"/>
      <c r="F111" s="29"/>
      <c r="G111" s="29"/>
      <c r="H111" s="29"/>
      <c r="I111" s="29"/>
      <c r="J111" s="29"/>
      <c r="K111" s="65">
        <v>0</v>
      </c>
      <c r="L111" s="65"/>
      <c r="M111" s="66"/>
      <c r="N111" s="29"/>
      <c r="O111" s="6"/>
    </row>
    <row r="112" spans="1:15" ht="15.75">
      <c r="A112" s="28"/>
      <c r="B112" s="29" t="s">
        <v>79</v>
      </c>
      <c r="C112" s="29"/>
      <c r="D112" s="29"/>
      <c r="E112" s="29"/>
      <c r="F112" s="29"/>
      <c r="G112" s="29"/>
      <c r="H112" s="29"/>
      <c r="I112" s="29"/>
      <c r="J112" s="29"/>
      <c r="K112" s="65">
        <v>-168668</v>
      </c>
      <c r="L112" s="65"/>
      <c r="M112" s="66"/>
      <c r="N112" s="29"/>
      <c r="O112" s="6"/>
    </row>
    <row r="113" spans="1:15" ht="15.75">
      <c r="A113" s="28"/>
      <c r="B113" s="29" t="s">
        <v>80</v>
      </c>
      <c r="C113" s="29"/>
      <c r="D113" s="29"/>
      <c r="E113" s="29"/>
      <c r="F113" s="29"/>
      <c r="G113" s="29"/>
      <c r="H113" s="29"/>
      <c r="I113" s="29"/>
      <c r="J113" s="29"/>
      <c r="K113" s="65">
        <v>-16580</v>
      </c>
      <c r="L113" s="65"/>
      <c r="M113" s="66"/>
      <c r="N113" s="29"/>
      <c r="O113" s="6"/>
    </row>
    <row r="114" spans="1:15" ht="15.75">
      <c r="A114" s="28"/>
      <c r="B114" s="29" t="s">
        <v>81</v>
      </c>
      <c r="C114" s="29"/>
      <c r="D114" s="29"/>
      <c r="E114" s="29"/>
      <c r="F114" s="29"/>
      <c r="G114" s="29"/>
      <c r="H114" s="29"/>
      <c r="I114" s="29"/>
      <c r="J114" s="29"/>
      <c r="K114" s="65">
        <v>-9750</v>
      </c>
      <c r="L114" s="65"/>
      <c r="M114" s="66"/>
      <c r="N114" s="29"/>
      <c r="O114" s="6"/>
    </row>
    <row r="115" spans="1:15" ht="15.75">
      <c r="A115" s="28"/>
      <c r="B115" s="29" t="s">
        <v>82</v>
      </c>
      <c r="C115" s="29"/>
      <c r="D115" s="29"/>
      <c r="E115" s="29"/>
      <c r="F115" s="29"/>
      <c r="G115" s="29"/>
      <c r="H115" s="29"/>
      <c r="I115" s="29"/>
      <c r="J115" s="29"/>
      <c r="K115" s="65">
        <f>SUM(K108:K114)</f>
        <v>-194998</v>
      </c>
      <c r="L115" s="65"/>
      <c r="M115" s="65">
        <f>SUM(M92:M104)</f>
        <v>-15428</v>
      </c>
      <c r="N115" s="29"/>
      <c r="O115" s="6"/>
    </row>
    <row r="116" spans="1:15" ht="15.75">
      <c r="A116" s="28"/>
      <c r="B116" s="29" t="s">
        <v>83</v>
      </c>
      <c r="C116" s="29"/>
      <c r="D116" s="29"/>
      <c r="E116" s="29"/>
      <c r="F116" s="29"/>
      <c r="G116" s="29"/>
      <c r="H116" s="29"/>
      <c r="I116" s="29"/>
      <c r="J116" s="29"/>
      <c r="K116" s="65">
        <f>SUM(K106:K114)+SUM(K101:K102)</f>
        <v>2926</v>
      </c>
      <c r="L116" s="65"/>
      <c r="M116" s="65">
        <f>M91+M115</f>
        <v>0</v>
      </c>
      <c r="N116" s="29"/>
      <c r="O116" s="6"/>
    </row>
    <row r="117" spans="1:15" ht="15.75">
      <c r="A117" s="28"/>
      <c r="B117" s="29"/>
      <c r="C117" s="29"/>
      <c r="D117" s="29"/>
      <c r="E117" s="29"/>
      <c r="F117" s="29"/>
      <c r="G117" s="29"/>
      <c r="H117" s="29"/>
      <c r="I117" s="29"/>
      <c r="J117" s="29"/>
      <c r="K117" s="65"/>
      <c r="L117" s="65"/>
      <c r="M117" s="65"/>
      <c r="N117" s="29"/>
      <c r="O117" s="6"/>
    </row>
    <row r="118" spans="1:15" ht="15.75">
      <c r="A118" s="7"/>
      <c r="B118" s="14"/>
      <c r="C118" s="9"/>
      <c r="D118" s="9"/>
      <c r="E118" s="9"/>
      <c r="F118" s="9"/>
      <c r="G118" s="9"/>
      <c r="H118" s="9"/>
      <c r="I118" s="9"/>
      <c r="J118" s="9"/>
      <c r="K118" s="68"/>
      <c r="L118" s="68"/>
      <c r="M118" s="68"/>
      <c r="N118" s="9"/>
      <c r="O118" s="6"/>
    </row>
    <row r="119" spans="1:15" ht="16.5" thickBot="1">
      <c r="A119" s="134"/>
      <c r="B119" s="135" t="str">
        <f>B53</f>
        <v>PASF1 INVESTOR REPORT QUARTER ENDING OCTOBER 2004</v>
      </c>
      <c r="C119" s="136"/>
      <c r="D119" s="136"/>
      <c r="E119" s="136"/>
      <c r="F119" s="136"/>
      <c r="G119" s="136"/>
      <c r="H119" s="136"/>
      <c r="I119" s="136"/>
      <c r="J119" s="136"/>
      <c r="K119" s="139"/>
      <c r="L119" s="139"/>
      <c r="M119" s="139"/>
      <c r="N119" s="138"/>
      <c r="O119" s="6"/>
    </row>
    <row r="120" spans="1:15" ht="15.75">
      <c r="A120" s="2"/>
      <c r="B120" s="5"/>
      <c r="C120" s="5"/>
      <c r="D120" s="5"/>
      <c r="E120" s="5"/>
      <c r="F120" s="5"/>
      <c r="G120" s="5"/>
      <c r="H120" s="5"/>
      <c r="I120" s="5"/>
      <c r="J120" s="5"/>
      <c r="K120" s="76"/>
      <c r="L120" s="76"/>
      <c r="M120" s="76"/>
      <c r="N120" s="5"/>
      <c r="O120" s="6"/>
    </row>
    <row r="121" spans="1:15" ht="15.75">
      <c r="A121" s="7"/>
      <c r="B121" s="9"/>
      <c r="C121" s="9"/>
      <c r="D121" s="9"/>
      <c r="E121" s="9"/>
      <c r="F121" s="9"/>
      <c r="G121" s="9"/>
      <c r="H121" s="9"/>
      <c r="I121" s="9"/>
      <c r="J121" s="9"/>
      <c r="K121" s="9"/>
      <c r="L121" s="9"/>
      <c r="M121" s="64"/>
      <c r="N121" s="9"/>
      <c r="O121" s="6"/>
    </row>
    <row r="122" spans="1:15" ht="15.75">
      <c r="A122" s="77"/>
      <c r="B122" s="78"/>
      <c r="C122" s="78"/>
      <c r="D122" s="78"/>
      <c r="E122" s="78"/>
      <c r="F122" s="78"/>
      <c r="G122" s="78"/>
      <c r="H122" s="78"/>
      <c r="I122" s="78"/>
      <c r="J122" s="78"/>
      <c r="K122" s="78"/>
      <c r="L122" s="78"/>
      <c r="M122" s="79"/>
      <c r="N122" s="78"/>
      <c r="O122" s="6"/>
    </row>
    <row r="123" spans="1:15" ht="15.75">
      <c r="A123" s="77"/>
      <c r="B123" s="80" t="s">
        <v>84</v>
      </c>
      <c r="C123" s="78"/>
      <c r="D123" s="78"/>
      <c r="E123" s="78"/>
      <c r="F123" s="78"/>
      <c r="G123" s="78"/>
      <c r="H123" s="78"/>
      <c r="I123" s="78"/>
      <c r="J123" s="78"/>
      <c r="K123" s="78"/>
      <c r="L123" s="78"/>
      <c r="M123" s="79"/>
      <c r="N123" s="81"/>
      <c r="O123" s="6"/>
    </row>
    <row r="124" spans="1:15" ht="15.75">
      <c r="A124" s="77"/>
      <c r="B124" s="78"/>
      <c r="C124" s="78"/>
      <c r="D124" s="78"/>
      <c r="E124" s="78"/>
      <c r="F124" s="78"/>
      <c r="G124" s="78"/>
      <c r="H124" s="78"/>
      <c r="I124" s="78"/>
      <c r="J124" s="78"/>
      <c r="K124" s="78"/>
      <c r="L124" s="78"/>
      <c r="M124" s="79"/>
      <c r="N124" s="78"/>
      <c r="O124" s="6"/>
    </row>
    <row r="125" spans="1:15" ht="15.75">
      <c r="A125" s="7"/>
      <c r="B125" s="158" t="s">
        <v>85</v>
      </c>
      <c r="C125" s="15"/>
      <c r="D125" s="15"/>
      <c r="E125" s="9"/>
      <c r="F125" s="9"/>
      <c r="G125" s="9"/>
      <c r="H125" s="9"/>
      <c r="I125" s="9"/>
      <c r="J125" s="9"/>
      <c r="K125" s="9"/>
      <c r="L125" s="9"/>
      <c r="M125" s="64"/>
      <c r="N125" s="9"/>
      <c r="O125" s="6"/>
    </row>
    <row r="126" spans="1:15" ht="15.75">
      <c r="A126" s="28"/>
      <c r="B126" s="29" t="s">
        <v>86</v>
      </c>
      <c r="C126" s="29"/>
      <c r="D126" s="29"/>
      <c r="E126" s="29"/>
      <c r="F126" s="29"/>
      <c r="G126" s="29"/>
      <c r="H126" s="29"/>
      <c r="I126" s="29"/>
      <c r="J126" s="29"/>
      <c r="K126" s="29"/>
      <c r="L126" s="29"/>
      <c r="M126" s="66">
        <v>5852</v>
      </c>
      <c r="N126" s="29"/>
      <c r="O126" s="6"/>
    </row>
    <row r="127" spans="1:15" ht="15.75">
      <c r="A127" s="28"/>
      <c r="B127" s="29" t="s">
        <v>87</v>
      </c>
      <c r="C127" s="29"/>
      <c r="D127" s="29"/>
      <c r="E127" s="29"/>
      <c r="F127" s="29"/>
      <c r="G127" s="29"/>
      <c r="H127" s="29"/>
      <c r="I127" s="29"/>
      <c r="J127" s="29"/>
      <c r="K127" s="29"/>
      <c r="L127" s="29"/>
      <c r="M127" s="66">
        <v>5852</v>
      </c>
      <c r="N127" s="29"/>
      <c r="O127" s="6"/>
    </row>
    <row r="128" spans="1:15" ht="15.75">
      <c r="A128" s="28"/>
      <c r="B128" s="29" t="s">
        <v>88</v>
      </c>
      <c r="C128" s="29"/>
      <c r="D128" s="29"/>
      <c r="E128" s="29"/>
      <c r="F128" s="29"/>
      <c r="G128" s="29"/>
      <c r="H128" s="29"/>
      <c r="I128" s="29"/>
      <c r="J128" s="29"/>
      <c r="K128" s="29"/>
      <c r="L128" s="29"/>
      <c r="M128" s="66">
        <v>0</v>
      </c>
      <c r="N128" s="29"/>
      <c r="O128" s="6"/>
    </row>
    <row r="129" spans="1:15" ht="15.75">
      <c r="A129" s="28"/>
      <c r="B129" s="29" t="s">
        <v>251</v>
      </c>
      <c r="C129" s="29"/>
      <c r="D129" s="29"/>
      <c r="E129" s="29"/>
      <c r="F129" s="29"/>
      <c r="G129" s="29"/>
      <c r="H129" s="29"/>
      <c r="I129" s="29"/>
      <c r="J129" s="29"/>
      <c r="K129" s="29"/>
      <c r="L129" s="29"/>
      <c r="M129" s="66">
        <v>-5852</v>
      </c>
      <c r="N129" s="29"/>
      <c r="O129" s="6"/>
    </row>
    <row r="130" spans="1:15" ht="15.75">
      <c r="A130" s="28"/>
      <c r="B130" s="29" t="s">
        <v>89</v>
      </c>
      <c r="C130" s="29"/>
      <c r="D130" s="29"/>
      <c r="E130" s="29"/>
      <c r="F130" s="29"/>
      <c r="G130" s="29"/>
      <c r="H130" s="29"/>
      <c r="I130" s="29"/>
      <c r="J130" s="29"/>
      <c r="K130" s="29"/>
      <c r="L130" s="29"/>
      <c r="M130" s="66">
        <v>0</v>
      </c>
      <c r="N130" s="29"/>
      <c r="O130" s="6"/>
    </row>
    <row r="131" spans="1:15" ht="15.75">
      <c r="A131" s="28"/>
      <c r="B131" s="29" t="s">
        <v>90</v>
      </c>
      <c r="C131" s="29"/>
      <c r="D131" s="29"/>
      <c r="E131" s="29"/>
      <c r="F131" s="29"/>
      <c r="G131" s="29"/>
      <c r="H131" s="29"/>
      <c r="I131" s="29"/>
      <c r="J131" s="29"/>
      <c r="K131" s="29"/>
      <c r="L131" s="29"/>
      <c r="M131" s="66">
        <v>0</v>
      </c>
      <c r="N131" s="29"/>
      <c r="O131" s="6"/>
    </row>
    <row r="132" spans="1:15" ht="15.75">
      <c r="A132" s="28"/>
      <c r="B132" s="29" t="s">
        <v>91</v>
      </c>
      <c r="C132" s="29"/>
      <c r="D132" s="29"/>
      <c r="E132" s="29"/>
      <c r="F132" s="29"/>
      <c r="G132" s="29"/>
      <c r="H132" s="29"/>
      <c r="I132" s="29"/>
      <c r="J132" s="29"/>
      <c r="K132" s="29"/>
      <c r="L132" s="29"/>
      <c r="M132" s="66">
        <v>0</v>
      </c>
      <c r="N132" s="29"/>
      <c r="O132" s="6"/>
    </row>
    <row r="133" spans="1:15" ht="15.75">
      <c r="A133" s="28"/>
      <c r="B133" s="29" t="s">
        <v>66</v>
      </c>
      <c r="C133" s="29"/>
      <c r="D133" s="29"/>
      <c r="E133" s="29"/>
      <c r="F133" s="29"/>
      <c r="G133" s="29"/>
      <c r="H133" s="29"/>
      <c r="I133" s="29"/>
      <c r="J133" s="29"/>
      <c r="K133" s="29"/>
      <c r="L133" s="29"/>
      <c r="M133" s="66">
        <v>0</v>
      </c>
      <c r="N133" s="29"/>
      <c r="O133" s="6"/>
    </row>
    <row r="134" spans="1:15" ht="15.75">
      <c r="A134" s="28"/>
      <c r="B134" s="29" t="s">
        <v>67</v>
      </c>
      <c r="C134" s="29"/>
      <c r="D134" s="29"/>
      <c r="E134" s="29"/>
      <c r="F134" s="29"/>
      <c r="G134" s="29"/>
      <c r="H134" s="29"/>
      <c r="I134" s="29"/>
      <c r="J134" s="29"/>
      <c r="K134" s="29"/>
      <c r="L134" s="29"/>
      <c r="M134" s="66">
        <v>0</v>
      </c>
      <c r="N134" s="29"/>
      <c r="O134" s="6"/>
    </row>
    <row r="135" spans="1:15" ht="15.75">
      <c r="A135" s="28"/>
      <c r="B135" s="29" t="s">
        <v>92</v>
      </c>
      <c r="C135" s="29"/>
      <c r="D135" s="29"/>
      <c r="E135" s="29"/>
      <c r="F135" s="29"/>
      <c r="G135" s="29"/>
      <c r="H135" s="29"/>
      <c r="I135" s="29"/>
      <c r="J135" s="29"/>
      <c r="K135" s="29"/>
      <c r="L135" s="29"/>
      <c r="M135" s="66">
        <f>M126+M130+M129</f>
        <v>0</v>
      </c>
      <c r="N135" s="29"/>
      <c r="O135" s="6"/>
    </row>
    <row r="136" spans="1:15" ht="15.75">
      <c r="A136" s="28"/>
      <c r="B136" s="29"/>
      <c r="C136" s="29"/>
      <c r="D136" s="29"/>
      <c r="E136" s="29"/>
      <c r="F136" s="29"/>
      <c r="G136" s="29"/>
      <c r="H136" s="29"/>
      <c r="I136" s="29"/>
      <c r="J136" s="29"/>
      <c r="K136" s="29"/>
      <c r="L136" s="29"/>
      <c r="M136" s="82"/>
      <c r="N136" s="29"/>
      <c r="O136" s="6"/>
    </row>
    <row r="137" spans="1:15" ht="15.75">
      <c r="A137" s="7"/>
      <c r="B137" s="158" t="s">
        <v>50</v>
      </c>
      <c r="C137" s="9"/>
      <c r="D137" s="9"/>
      <c r="E137" s="9"/>
      <c r="F137" s="9"/>
      <c r="G137" s="9"/>
      <c r="H137" s="9"/>
      <c r="I137" s="9"/>
      <c r="J137" s="9"/>
      <c r="K137" s="9"/>
      <c r="L137" s="9"/>
      <c r="M137" s="64"/>
      <c r="N137" s="9"/>
      <c r="O137" s="6"/>
    </row>
    <row r="138" spans="1:15" ht="15.75">
      <c r="A138" s="28"/>
      <c r="B138" s="29" t="s">
        <v>93</v>
      </c>
      <c r="C138" s="83"/>
      <c r="D138" s="83"/>
      <c r="E138" s="29"/>
      <c r="F138" s="29"/>
      <c r="G138" s="29"/>
      <c r="H138" s="29"/>
      <c r="I138" s="29"/>
      <c r="J138" s="29"/>
      <c r="K138" s="29"/>
      <c r="L138" s="29"/>
      <c r="M138" s="66">
        <v>2926</v>
      </c>
      <c r="N138" s="29"/>
      <c r="O138" s="6"/>
    </row>
    <row r="139" spans="1:15" ht="15.75">
      <c r="A139" s="28"/>
      <c r="B139" s="29" t="s">
        <v>94</v>
      </c>
      <c r="C139" s="29"/>
      <c r="D139" s="29"/>
      <c r="E139" s="29"/>
      <c r="F139" s="29"/>
      <c r="G139" s="29"/>
      <c r="H139" s="29"/>
      <c r="I139" s="29"/>
      <c r="J139" s="29"/>
      <c r="K139" s="29"/>
      <c r="L139" s="29"/>
      <c r="M139" s="66">
        <v>2926</v>
      </c>
      <c r="N139" s="29"/>
      <c r="O139" s="6"/>
    </row>
    <row r="140" spans="1:15" ht="15.75">
      <c r="A140" s="28"/>
      <c r="B140" s="29" t="s">
        <v>95</v>
      </c>
      <c r="C140" s="29"/>
      <c r="D140" s="29"/>
      <c r="E140" s="29"/>
      <c r="F140" s="29"/>
      <c r="G140" s="29"/>
      <c r="H140" s="29"/>
      <c r="I140" s="29"/>
      <c r="J140" s="29"/>
      <c r="K140" s="29"/>
      <c r="L140" s="29"/>
      <c r="M140" s="66">
        <f>-M102</f>
        <v>0</v>
      </c>
      <c r="N140" s="29"/>
      <c r="O140" s="6"/>
    </row>
    <row r="141" spans="1:15" ht="15.75">
      <c r="A141" s="28"/>
      <c r="B141" s="29" t="s">
        <v>96</v>
      </c>
      <c r="C141" s="29"/>
      <c r="D141" s="29"/>
      <c r="E141" s="29"/>
      <c r="F141" s="29"/>
      <c r="G141" s="29"/>
      <c r="H141" s="29"/>
      <c r="I141" s="29"/>
      <c r="J141" s="29"/>
      <c r="K141" s="29"/>
      <c r="L141" s="29"/>
      <c r="M141" s="66">
        <f>M138-M139-M140</f>
        <v>0</v>
      </c>
      <c r="N141" s="29"/>
      <c r="O141" s="6"/>
    </row>
    <row r="142" spans="1:15" ht="15.75">
      <c r="A142" s="28"/>
      <c r="B142" s="29"/>
      <c r="C142" s="29"/>
      <c r="D142" s="29"/>
      <c r="E142" s="29"/>
      <c r="F142" s="29"/>
      <c r="G142" s="29"/>
      <c r="H142" s="29"/>
      <c r="I142" s="29"/>
      <c r="J142" s="29"/>
      <c r="K142" s="29"/>
      <c r="L142" s="29"/>
      <c r="M142" s="84"/>
      <c r="N142" s="29"/>
      <c r="O142" s="6"/>
    </row>
    <row r="143" spans="1:15" ht="15.75">
      <c r="A143" s="7"/>
      <c r="B143" s="158" t="s">
        <v>97</v>
      </c>
      <c r="C143" s="15"/>
      <c r="D143" s="15"/>
      <c r="E143" s="9"/>
      <c r="F143" s="9"/>
      <c r="G143" s="17" t="s">
        <v>178</v>
      </c>
      <c r="H143" s="17"/>
      <c r="I143" s="17" t="s">
        <v>181</v>
      </c>
      <c r="J143" s="9"/>
      <c r="K143" s="9"/>
      <c r="L143" s="9"/>
      <c r="M143" s="85"/>
      <c r="N143" s="9"/>
      <c r="O143" s="6"/>
    </row>
    <row r="144" spans="1:15" ht="15.75">
      <c r="A144" s="7"/>
      <c r="B144" s="15"/>
      <c r="C144" s="15"/>
      <c r="D144" s="15"/>
      <c r="E144" s="9"/>
      <c r="F144" s="9"/>
      <c r="G144" s="9"/>
      <c r="H144" s="9"/>
      <c r="I144" s="9"/>
      <c r="J144" s="9"/>
      <c r="K144" s="9"/>
      <c r="L144" s="9"/>
      <c r="M144" s="85"/>
      <c r="N144" s="9"/>
      <c r="O144" s="6"/>
    </row>
    <row r="145" spans="1:15" ht="15.75">
      <c r="A145" s="28"/>
      <c r="B145" s="29" t="s">
        <v>98</v>
      </c>
      <c r="C145" s="29"/>
      <c r="D145" s="29"/>
      <c r="E145" s="29"/>
      <c r="F145" s="29"/>
      <c r="G145" s="29">
        <v>0</v>
      </c>
      <c r="H145" s="29"/>
      <c r="I145" s="29">
        <v>0</v>
      </c>
      <c r="J145" s="29"/>
      <c r="K145" s="29"/>
      <c r="L145" s="29"/>
      <c r="M145" s="66">
        <v>0</v>
      </c>
      <c r="N145" s="29"/>
      <c r="O145" s="6"/>
    </row>
    <row r="146" spans="1:15" ht="15.75">
      <c r="A146" s="28"/>
      <c r="B146" s="29" t="s">
        <v>99</v>
      </c>
      <c r="C146" s="29"/>
      <c r="D146" s="29"/>
      <c r="E146" s="29"/>
      <c r="F146" s="29"/>
      <c r="G146" s="29">
        <v>0</v>
      </c>
      <c r="H146" s="29"/>
      <c r="I146" s="29">
        <v>0</v>
      </c>
      <c r="J146" s="29"/>
      <c r="K146" s="29"/>
      <c r="L146" s="29"/>
      <c r="M146" s="66">
        <f>SUM(G146:I146)</f>
        <v>0</v>
      </c>
      <c r="N146" s="29"/>
      <c r="O146" s="6"/>
    </row>
    <row r="147" spans="1:15" ht="15.75">
      <c r="A147" s="28"/>
      <c r="B147" s="29" t="s">
        <v>100</v>
      </c>
      <c r="C147" s="29"/>
      <c r="D147" s="29"/>
      <c r="E147" s="29"/>
      <c r="F147" s="29"/>
      <c r="G147" s="29"/>
      <c r="H147" s="29"/>
      <c r="I147" s="86"/>
      <c r="J147" s="29"/>
      <c r="K147" s="29"/>
      <c r="L147" s="29"/>
      <c r="M147" s="66">
        <f>M101</f>
        <v>0</v>
      </c>
      <c r="N147" s="29"/>
      <c r="O147" s="6"/>
    </row>
    <row r="148" spans="1:15" ht="15.75">
      <c r="A148" s="28"/>
      <c r="B148" s="29" t="s">
        <v>101</v>
      </c>
      <c r="C148" s="29"/>
      <c r="D148" s="29"/>
      <c r="E148" s="29"/>
      <c r="F148" s="29"/>
      <c r="G148" s="29"/>
      <c r="H148" s="29"/>
      <c r="I148" s="29"/>
      <c r="J148" s="29"/>
      <c r="K148" s="29"/>
      <c r="L148" s="29"/>
      <c r="M148" s="66">
        <f>M147+M146</f>
        <v>0</v>
      </c>
      <c r="N148" s="29"/>
      <c r="O148" s="6"/>
    </row>
    <row r="149" spans="1:15" ht="15.75">
      <c r="A149" s="28"/>
      <c r="B149" s="29"/>
      <c r="C149" s="29"/>
      <c r="D149" s="29"/>
      <c r="E149" s="29"/>
      <c r="F149" s="29"/>
      <c r="G149" s="29"/>
      <c r="H149" s="29"/>
      <c r="I149" s="29"/>
      <c r="J149" s="29"/>
      <c r="K149" s="29"/>
      <c r="L149" s="29"/>
      <c r="M149" s="82"/>
      <c r="N149" s="29"/>
      <c r="O149" s="6"/>
    </row>
    <row r="150" spans="1:15" ht="15.75">
      <c r="A150" s="7"/>
      <c r="B150" s="9"/>
      <c r="C150" s="9"/>
      <c r="D150" s="9"/>
      <c r="E150" s="9"/>
      <c r="F150" s="9"/>
      <c r="G150" s="9"/>
      <c r="H150" s="9"/>
      <c r="I150" s="9"/>
      <c r="J150" s="9"/>
      <c r="K150" s="9"/>
      <c r="L150" s="9"/>
      <c r="M150" s="64"/>
      <c r="N150" s="9"/>
      <c r="O150" s="6"/>
    </row>
    <row r="151" spans="1:15" ht="15.75">
      <c r="A151" s="7"/>
      <c r="B151" s="158" t="s">
        <v>102</v>
      </c>
      <c r="C151" s="15"/>
      <c r="D151" s="15"/>
      <c r="E151" s="9"/>
      <c r="F151" s="9"/>
      <c r="G151" s="9"/>
      <c r="H151" s="9"/>
      <c r="I151" s="9"/>
      <c r="J151" s="9"/>
      <c r="K151" s="9"/>
      <c r="L151" s="9"/>
      <c r="M151" s="64"/>
      <c r="N151" s="9"/>
      <c r="O151" s="6"/>
    </row>
    <row r="152" spans="1:18" ht="15.75">
      <c r="A152" s="28"/>
      <c r="B152" s="29" t="s">
        <v>103</v>
      </c>
      <c r="C152" s="87"/>
      <c r="D152" s="87"/>
      <c r="E152" s="29"/>
      <c r="F152" s="29"/>
      <c r="G152" s="29"/>
      <c r="H152" s="29"/>
      <c r="I152" s="29"/>
      <c r="J152" s="29"/>
      <c r="K152" s="29"/>
      <c r="L152" s="29"/>
      <c r="M152" s="66">
        <f>M68+M61</f>
        <v>0</v>
      </c>
      <c r="N152" s="29"/>
      <c r="O152" s="6"/>
      <c r="R152" s="132"/>
    </row>
    <row r="153" spans="1:15" ht="15.75">
      <c r="A153" s="28"/>
      <c r="B153" s="29" t="s">
        <v>104</v>
      </c>
      <c r="C153" s="87"/>
      <c r="D153" s="87"/>
      <c r="E153" s="29"/>
      <c r="F153" s="29"/>
      <c r="G153" s="29"/>
      <c r="H153" s="29"/>
      <c r="I153" s="29"/>
      <c r="J153" s="29"/>
      <c r="K153" s="29"/>
      <c r="L153" s="29"/>
      <c r="M153" s="66">
        <v>0</v>
      </c>
      <c r="N153" s="29"/>
      <c r="O153" s="6"/>
    </row>
    <row r="154" spans="1:15" ht="15.75">
      <c r="A154" s="28"/>
      <c r="B154" s="29" t="s">
        <v>50</v>
      </c>
      <c r="C154" s="87"/>
      <c r="D154" s="87"/>
      <c r="E154" s="29"/>
      <c r="F154" s="29"/>
      <c r="G154" s="29"/>
      <c r="H154" s="29"/>
      <c r="I154" s="29"/>
      <c r="J154" s="29"/>
      <c r="K154" s="29"/>
      <c r="L154" s="29"/>
      <c r="M154" s="66">
        <f>M71</f>
        <v>0</v>
      </c>
      <c r="N154" s="29"/>
      <c r="O154" s="6"/>
    </row>
    <row r="155" spans="1:16" ht="15.75">
      <c r="A155" s="28"/>
      <c r="B155" s="29" t="s">
        <v>105</v>
      </c>
      <c r="C155" s="87"/>
      <c r="D155" s="87"/>
      <c r="E155" s="29"/>
      <c r="F155" s="29"/>
      <c r="G155" s="29"/>
      <c r="H155" s="29"/>
      <c r="I155" s="29"/>
      <c r="J155" s="29"/>
      <c r="K155" s="29"/>
      <c r="L155" s="29"/>
      <c r="M155" s="66">
        <f>M74</f>
        <v>0</v>
      </c>
      <c r="N155" s="29"/>
      <c r="O155" s="6"/>
      <c r="P155" s="132"/>
    </row>
    <row r="156" spans="1:15" ht="15.75">
      <c r="A156" s="28"/>
      <c r="B156" s="29" t="s">
        <v>106</v>
      </c>
      <c r="C156" s="87"/>
      <c r="D156" s="87"/>
      <c r="E156" s="29"/>
      <c r="F156" s="29"/>
      <c r="G156" s="29"/>
      <c r="H156" s="29"/>
      <c r="I156" s="29"/>
      <c r="J156" s="29"/>
      <c r="K156" s="29"/>
      <c r="L156" s="29"/>
      <c r="M156" s="66">
        <f>M73</f>
        <v>0</v>
      </c>
      <c r="N156" s="29"/>
      <c r="O156" s="6"/>
    </row>
    <row r="157" spans="1:15" ht="15.75">
      <c r="A157" s="28"/>
      <c r="B157" s="29" t="s">
        <v>107</v>
      </c>
      <c r="C157" s="87"/>
      <c r="D157" s="87"/>
      <c r="E157" s="29"/>
      <c r="F157" s="29"/>
      <c r="G157" s="29"/>
      <c r="H157" s="29"/>
      <c r="I157" s="29"/>
      <c r="J157" s="29"/>
      <c r="K157" s="29"/>
      <c r="L157" s="29"/>
      <c r="M157" s="66">
        <f>SUM(M152:M156)</f>
        <v>0</v>
      </c>
      <c r="N157" s="29"/>
      <c r="O157" s="133"/>
    </row>
    <row r="158" spans="1:19" ht="15.75">
      <c r="A158" s="28"/>
      <c r="B158" s="29" t="s">
        <v>108</v>
      </c>
      <c r="C158" s="87"/>
      <c r="D158" s="87"/>
      <c r="E158" s="29"/>
      <c r="F158" s="29"/>
      <c r="G158" s="29"/>
      <c r="H158" s="29"/>
      <c r="I158" s="29"/>
      <c r="J158" s="29"/>
      <c r="K158" s="29"/>
      <c r="L158" s="29"/>
      <c r="M158" s="66">
        <f>M30</f>
        <v>0</v>
      </c>
      <c r="N158" s="29"/>
      <c r="O158" s="6"/>
      <c r="P158" s="132"/>
      <c r="R158" s="132"/>
      <c r="S158" s="132"/>
    </row>
    <row r="159" spans="1:15" ht="15.75">
      <c r="A159" s="28"/>
      <c r="B159" s="29"/>
      <c r="C159" s="29"/>
      <c r="D159" s="29"/>
      <c r="E159" s="29"/>
      <c r="F159" s="29"/>
      <c r="G159" s="29"/>
      <c r="H159" s="29"/>
      <c r="I159" s="29"/>
      <c r="J159" s="29"/>
      <c r="K159" s="29"/>
      <c r="L159" s="29"/>
      <c r="M159" s="82"/>
      <c r="N159" s="29"/>
      <c r="O159" s="6"/>
    </row>
    <row r="160" spans="1:15" ht="15.75">
      <c r="A160" s="7"/>
      <c r="B160" s="9"/>
      <c r="C160" s="9"/>
      <c r="D160" s="9"/>
      <c r="E160" s="9"/>
      <c r="F160" s="9"/>
      <c r="G160" s="9"/>
      <c r="H160" s="9"/>
      <c r="I160" s="25"/>
      <c r="J160" s="9"/>
      <c r="K160" s="25"/>
      <c r="L160" s="9"/>
      <c r="M160" s="64"/>
      <c r="N160" s="9"/>
      <c r="O160" s="6"/>
    </row>
    <row r="161" spans="1:15" ht="15.75">
      <c r="A161" s="7"/>
      <c r="B161" s="158" t="s">
        <v>109</v>
      </c>
      <c r="C161" s="144"/>
      <c r="D161" s="144"/>
      <c r="E161" s="144"/>
      <c r="F161" s="144"/>
      <c r="G161" s="144"/>
      <c r="H161" s="144"/>
      <c r="I161" s="159" t="s">
        <v>205</v>
      </c>
      <c r="J161" s="159"/>
      <c r="K161" s="159" t="s">
        <v>210</v>
      </c>
      <c r="L161" s="144"/>
      <c r="M161" s="160" t="s">
        <v>192</v>
      </c>
      <c r="N161" s="161"/>
      <c r="O161" s="6"/>
    </row>
    <row r="162" spans="1:15" ht="15.75">
      <c r="A162" s="28"/>
      <c r="B162" s="29" t="s">
        <v>110</v>
      </c>
      <c r="C162" s="29"/>
      <c r="D162" s="29"/>
      <c r="E162" s="29"/>
      <c r="F162" s="29"/>
      <c r="G162" s="29"/>
      <c r="H162" s="29"/>
      <c r="I162" s="66"/>
      <c r="J162" s="29"/>
      <c r="K162" s="53"/>
      <c r="L162" s="29"/>
      <c r="M162" s="66"/>
      <c r="N162" s="29"/>
      <c r="O162" s="6"/>
    </row>
    <row r="163" spans="1:15" ht="15.75">
      <c r="A163" s="28"/>
      <c r="B163" s="29" t="s">
        <v>111</v>
      </c>
      <c r="C163" s="29"/>
      <c r="D163" s="29"/>
      <c r="E163" s="29"/>
      <c r="F163" s="29"/>
      <c r="G163" s="29"/>
      <c r="H163" s="29"/>
      <c r="I163" s="66">
        <f>'July 2004'!I161</f>
        <v>1040</v>
      </c>
      <c r="J163" s="29"/>
      <c r="K163" s="29"/>
      <c r="L163" s="29"/>
      <c r="M163" s="66" t="s">
        <v>224</v>
      </c>
      <c r="N163" s="29"/>
      <c r="O163" s="6"/>
    </row>
    <row r="164" spans="1:15" ht="15.75">
      <c r="A164" s="28"/>
      <c r="B164" s="29" t="s">
        <v>112</v>
      </c>
      <c r="C164" s="29"/>
      <c r="D164" s="29"/>
      <c r="E164" s="29"/>
      <c r="F164" s="29"/>
      <c r="G164" s="29"/>
      <c r="H164" s="29"/>
      <c r="I164" s="66">
        <v>622</v>
      </c>
      <c r="J164" s="29"/>
      <c r="K164" s="29"/>
      <c r="L164" s="29"/>
      <c r="M164" s="66" t="s">
        <v>224</v>
      </c>
      <c r="N164" s="29"/>
      <c r="O164" s="6"/>
    </row>
    <row r="165" spans="1:15" ht="15.75">
      <c r="A165" s="28"/>
      <c r="B165" s="29" t="s">
        <v>113</v>
      </c>
      <c r="C165" s="29"/>
      <c r="D165" s="29"/>
      <c r="E165" s="29"/>
      <c r="F165" s="29"/>
      <c r="G165" s="29"/>
      <c r="H165" s="29"/>
      <c r="I165" s="66">
        <f>SUM(I163:I164)</f>
        <v>1662</v>
      </c>
      <c r="J165" s="29"/>
      <c r="K165" s="66"/>
      <c r="L165" s="29"/>
      <c r="M165" s="66" t="s">
        <v>224</v>
      </c>
      <c r="N165" s="29"/>
      <c r="O165" s="6"/>
    </row>
    <row r="166" spans="1:15" ht="15.75">
      <c r="A166" s="28"/>
      <c r="B166" s="29" t="s">
        <v>114</v>
      </c>
      <c r="C166" s="29"/>
      <c r="D166" s="29"/>
      <c r="E166" s="29"/>
      <c r="F166" s="29"/>
      <c r="G166" s="29"/>
      <c r="H166" s="29"/>
      <c r="I166" s="66"/>
      <c r="J166" s="29"/>
      <c r="K166" s="53"/>
      <c r="L166" s="29"/>
      <c r="M166" s="66"/>
      <c r="N166" s="29"/>
      <c r="O166" s="6"/>
    </row>
    <row r="167" spans="1:15" ht="15.75">
      <c r="A167" s="28"/>
      <c r="B167" s="29"/>
      <c r="C167" s="29"/>
      <c r="D167" s="29"/>
      <c r="E167" s="29"/>
      <c r="F167" s="29"/>
      <c r="G167" s="29"/>
      <c r="H167" s="29"/>
      <c r="I167" s="29"/>
      <c r="J167" s="29"/>
      <c r="K167" s="29"/>
      <c r="L167" s="29"/>
      <c r="M167" s="82"/>
      <c r="N167" s="29"/>
      <c r="O167" s="6"/>
    </row>
    <row r="168" spans="1:15" ht="15.75">
      <c r="A168" s="7"/>
      <c r="B168" s="9"/>
      <c r="C168" s="9"/>
      <c r="D168" s="9"/>
      <c r="E168" s="9"/>
      <c r="F168" s="9"/>
      <c r="G168" s="9"/>
      <c r="H168" s="9"/>
      <c r="I168" s="9"/>
      <c r="J168" s="9"/>
      <c r="K168" s="9"/>
      <c r="L168" s="9"/>
      <c r="M168" s="64"/>
      <c r="N168" s="9"/>
      <c r="O168" s="6"/>
    </row>
    <row r="169" spans="1:15" ht="15.75">
      <c r="A169" s="7"/>
      <c r="B169" s="158" t="s">
        <v>115</v>
      </c>
      <c r="C169" s="15"/>
      <c r="D169" s="15"/>
      <c r="E169" s="9"/>
      <c r="F169" s="9"/>
      <c r="G169" s="9"/>
      <c r="H169" s="9"/>
      <c r="I169" s="9"/>
      <c r="J169" s="9"/>
      <c r="K169" s="9"/>
      <c r="L169" s="9"/>
      <c r="M169" s="88"/>
      <c r="N169" s="9"/>
      <c r="O169" s="6"/>
    </row>
    <row r="170" spans="1:15" ht="15.75">
      <c r="A170" s="28"/>
      <c r="B170" s="29" t="s">
        <v>116</v>
      </c>
      <c r="C170" s="29"/>
      <c r="D170" s="29"/>
      <c r="E170" s="29"/>
      <c r="F170" s="29"/>
      <c r="G170" s="29"/>
      <c r="H170" s="29"/>
      <c r="I170" s="29"/>
      <c r="J170" s="29"/>
      <c r="K170" s="29"/>
      <c r="L170" s="29"/>
      <c r="M170" s="73">
        <f>(M91+M93+M94+M96-M84-M85)/-M95</f>
        <v>2.843582887700535</v>
      </c>
      <c r="N170" s="29" t="s">
        <v>225</v>
      </c>
      <c r="O170" s="6"/>
    </row>
    <row r="171" spans="1:15" ht="15.75">
      <c r="A171" s="28"/>
      <c r="B171" s="29" t="s">
        <v>117</v>
      </c>
      <c r="C171" s="29"/>
      <c r="D171" s="29"/>
      <c r="E171" s="29"/>
      <c r="F171" s="29"/>
      <c r="G171" s="29"/>
      <c r="H171" s="29"/>
      <c r="I171" s="29"/>
      <c r="J171" s="29"/>
      <c r="K171" s="29"/>
      <c r="L171" s="29"/>
      <c r="M171" s="89">
        <v>3.02</v>
      </c>
      <c r="N171" s="29" t="s">
        <v>225</v>
      </c>
      <c r="O171" s="6"/>
    </row>
    <row r="172" spans="1:15" ht="15.75">
      <c r="A172" s="28"/>
      <c r="B172" s="29" t="s">
        <v>118</v>
      </c>
      <c r="C172" s="29"/>
      <c r="D172" s="29"/>
      <c r="E172" s="29"/>
      <c r="F172" s="29"/>
      <c r="G172" s="29"/>
      <c r="H172" s="29"/>
      <c r="I172" s="29"/>
      <c r="J172" s="29"/>
      <c r="K172" s="29"/>
      <c r="L172" s="29"/>
      <c r="M172" s="73">
        <f>(M91+M93+M94+M95+M96+M97-M84-M85)/-M98</f>
        <v>17.434599156118143</v>
      </c>
      <c r="N172" s="29" t="s">
        <v>225</v>
      </c>
      <c r="O172" s="6"/>
    </row>
    <row r="173" spans="1:15" ht="15.75">
      <c r="A173" s="28"/>
      <c r="B173" s="29" t="s">
        <v>119</v>
      </c>
      <c r="C173" s="29"/>
      <c r="D173" s="29"/>
      <c r="E173" s="29"/>
      <c r="F173" s="29"/>
      <c r="G173" s="29"/>
      <c r="H173" s="29"/>
      <c r="I173" s="29"/>
      <c r="J173" s="29"/>
      <c r="K173" s="29"/>
      <c r="L173" s="29"/>
      <c r="M173" s="90">
        <v>18.86</v>
      </c>
      <c r="N173" s="29" t="s">
        <v>225</v>
      </c>
      <c r="O173" s="6"/>
    </row>
    <row r="174" spans="1:15" ht="15.75">
      <c r="A174" s="28"/>
      <c r="B174" s="29" t="s">
        <v>120</v>
      </c>
      <c r="C174" s="29"/>
      <c r="D174" s="29"/>
      <c r="E174" s="29"/>
      <c r="F174" s="29"/>
      <c r="G174" s="29"/>
      <c r="H174" s="29"/>
      <c r="I174" s="29"/>
      <c r="J174" s="29"/>
      <c r="K174" s="29"/>
      <c r="L174" s="29"/>
      <c r="M174" s="73">
        <f>(M91+M93+M94+M95+M96+M97+M98-M84-M85)/-M99</f>
        <v>23.75</v>
      </c>
      <c r="N174" s="29" t="s">
        <v>225</v>
      </c>
      <c r="O174" s="6"/>
    </row>
    <row r="175" spans="1:15" ht="15.75">
      <c r="A175" s="28"/>
      <c r="B175" s="29" t="s">
        <v>121</v>
      </c>
      <c r="C175" s="29"/>
      <c r="D175" s="29"/>
      <c r="E175" s="29"/>
      <c r="F175" s="29"/>
      <c r="G175" s="29"/>
      <c r="H175" s="29"/>
      <c r="I175" s="29"/>
      <c r="J175" s="29"/>
      <c r="K175" s="29"/>
      <c r="L175" s="29"/>
      <c r="M175" s="89">
        <v>25.47</v>
      </c>
      <c r="N175" s="29" t="s">
        <v>225</v>
      </c>
      <c r="O175" s="6"/>
    </row>
    <row r="176" spans="1:15" ht="15.75">
      <c r="A176" s="28"/>
      <c r="B176" s="29"/>
      <c r="C176" s="29"/>
      <c r="D176" s="29"/>
      <c r="E176" s="29"/>
      <c r="F176" s="29"/>
      <c r="G176" s="29"/>
      <c r="H176" s="29"/>
      <c r="I176" s="29"/>
      <c r="J176" s="29"/>
      <c r="K176" s="29"/>
      <c r="L176" s="29"/>
      <c r="M176" s="29"/>
      <c r="N176" s="29"/>
      <c r="O176" s="6"/>
    </row>
    <row r="177" spans="1:15" ht="15.75">
      <c r="A177" s="7"/>
      <c r="B177" s="9"/>
      <c r="C177" s="9"/>
      <c r="D177" s="9"/>
      <c r="E177" s="9"/>
      <c r="F177" s="9"/>
      <c r="G177" s="9"/>
      <c r="H177" s="9"/>
      <c r="I177" s="9"/>
      <c r="J177" s="9"/>
      <c r="K177" s="9"/>
      <c r="L177" s="9"/>
      <c r="M177" s="9"/>
      <c r="N177" s="9"/>
      <c r="O177" s="6"/>
    </row>
    <row r="178" spans="1:15" ht="16.5" thickBot="1">
      <c r="A178" s="134"/>
      <c r="B178" s="135" t="str">
        <f>B119</f>
        <v>PASF1 INVESTOR REPORT QUARTER ENDING OCTOBER 2004</v>
      </c>
      <c r="C178" s="136"/>
      <c r="D178" s="136"/>
      <c r="E178" s="136"/>
      <c r="F178" s="136"/>
      <c r="G178" s="136"/>
      <c r="H178" s="136"/>
      <c r="I178" s="136"/>
      <c r="J178" s="136"/>
      <c r="K178" s="136"/>
      <c r="L178" s="136"/>
      <c r="M178" s="136"/>
      <c r="N178" s="138"/>
      <c r="O178" s="6"/>
    </row>
    <row r="179" spans="1:15" ht="15.75">
      <c r="A179" s="2"/>
      <c r="B179" s="91"/>
      <c r="C179" s="91"/>
      <c r="D179" s="91"/>
      <c r="E179" s="91"/>
      <c r="F179" s="91"/>
      <c r="G179" s="91"/>
      <c r="H179" s="91"/>
      <c r="I179" s="91"/>
      <c r="J179" s="91"/>
      <c r="K179" s="91"/>
      <c r="L179" s="91"/>
      <c r="M179" s="91"/>
      <c r="N179" s="91"/>
      <c r="O179" s="6"/>
    </row>
    <row r="180" spans="1:15" ht="15.75">
      <c r="A180" s="92"/>
      <c r="B180" s="63" t="s">
        <v>122</v>
      </c>
      <c r="C180" s="93"/>
      <c r="D180" s="93"/>
      <c r="E180" s="93" t="s">
        <v>178</v>
      </c>
      <c r="F180" s="93"/>
      <c r="G180" s="94" t="s">
        <v>181</v>
      </c>
      <c r="H180" s="94"/>
      <c r="I180" s="94"/>
      <c r="J180" s="22"/>
      <c r="K180" s="22">
        <v>38289</v>
      </c>
      <c r="L180" s="18"/>
      <c r="M180" s="18"/>
      <c r="N180" s="9"/>
      <c r="O180" s="6"/>
    </row>
    <row r="181" spans="1:15" ht="15.75">
      <c r="A181" s="95"/>
      <c r="B181" s="74" t="s">
        <v>123</v>
      </c>
      <c r="C181" s="96"/>
      <c r="D181" s="96"/>
      <c r="E181" s="97">
        <v>0.12505</v>
      </c>
      <c r="F181" s="96"/>
      <c r="G181" s="97">
        <v>0.13752</v>
      </c>
      <c r="H181" s="86"/>
      <c r="I181" s="86"/>
      <c r="J181" s="86"/>
      <c r="K181" s="97">
        <v>0.13157</v>
      </c>
      <c r="L181" s="29"/>
      <c r="M181" s="29"/>
      <c r="N181" s="29"/>
      <c r="O181" s="6"/>
    </row>
    <row r="182" spans="1:15" ht="15.75">
      <c r="A182" s="95"/>
      <c r="B182" s="74" t="s">
        <v>124</v>
      </c>
      <c r="C182" s="96"/>
      <c r="D182" s="96"/>
      <c r="E182" s="97"/>
      <c r="F182" s="96"/>
      <c r="G182" s="97"/>
      <c r="H182" s="86"/>
      <c r="I182" s="86"/>
      <c r="J182" s="86"/>
      <c r="K182" s="97">
        <v>0.0654</v>
      </c>
      <c r="L182" s="97"/>
      <c r="M182" s="29"/>
      <c r="N182" s="29"/>
      <c r="O182" s="6"/>
    </row>
    <row r="183" spans="1:15" ht="15.75">
      <c r="A183" s="95"/>
      <c r="B183" s="74" t="s">
        <v>125</v>
      </c>
      <c r="C183" s="96"/>
      <c r="D183" s="96"/>
      <c r="E183" s="96"/>
      <c r="F183" s="96"/>
      <c r="G183" s="96"/>
      <c r="H183" s="86"/>
      <c r="I183" s="86"/>
      <c r="J183" s="86"/>
      <c r="K183" s="97">
        <f>K181-K182</f>
        <v>0.06616999999999999</v>
      </c>
      <c r="L183" s="29"/>
      <c r="M183" s="29"/>
      <c r="N183" s="29"/>
      <c r="O183" s="6"/>
    </row>
    <row r="184" spans="1:15" ht="15.75">
      <c r="A184" s="95"/>
      <c r="B184" s="74" t="s">
        <v>126</v>
      </c>
      <c r="C184" s="96"/>
      <c r="D184" s="96"/>
      <c r="E184" s="98">
        <v>0</v>
      </c>
      <c r="F184" s="98"/>
      <c r="G184" s="98">
        <v>0</v>
      </c>
      <c r="H184" s="86"/>
      <c r="I184" s="86"/>
      <c r="J184" s="86"/>
      <c r="K184" s="97">
        <v>0</v>
      </c>
      <c r="L184" s="29"/>
      <c r="M184" s="29"/>
      <c r="N184" s="29"/>
      <c r="O184" s="6"/>
    </row>
    <row r="185" spans="1:15" ht="15.75">
      <c r="A185" s="95"/>
      <c r="B185" s="74" t="s">
        <v>127</v>
      </c>
      <c r="C185" s="96"/>
      <c r="D185" s="96"/>
      <c r="E185" s="96"/>
      <c r="F185" s="96"/>
      <c r="G185" s="96"/>
      <c r="H185" s="86"/>
      <c r="I185" s="86"/>
      <c r="J185" s="86"/>
      <c r="K185" s="97">
        <f>M32</f>
        <v>0</v>
      </c>
      <c r="L185" s="29"/>
      <c r="M185" s="29"/>
      <c r="N185" s="29"/>
      <c r="O185" s="6"/>
    </row>
    <row r="186" spans="1:15" ht="15.75">
      <c r="A186" s="95"/>
      <c r="B186" s="74" t="s">
        <v>128</v>
      </c>
      <c r="C186" s="96"/>
      <c r="D186" s="96"/>
      <c r="E186" s="96"/>
      <c r="F186" s="96"/>
      <c r="G186" s="96"/>
      <c r="H186" s="86"/>
      <c r="I186" s="86"/>
      <c r="J186" s="86"/>
      <c r="K186" s="97">
        <f>K184-K185</f>
        <v>0</v>
      </c>
      <c r="L186" s="29"/>
      <c r="M186" s="29"/>
      <c r="N186" s="29"/>
      <c r="O186" s="6"/>
    </row>
    <row r="187" spans="1:15" ht="15.75">
      <c r="A187" s="95"/>
      <c r="B187" s="74" t="s">
        <v>129</v>
      </c>
      <c r="C187" s="96"/>
      <c r="D187" s="96"/>
      <c r="E187" s="96"/>
      <c r="F187" s="96"/>
      <c r="G187" s="96"/>
      <c r="H187" s="86"/>
      <c r="I187" s="86"/>
      <c r="J187" s="86"/>
      <c r="K187" s="97" t="s">
        <v>211</v>
      </c>
      <c r="L187" s="29"/>
      <c r="M187" s="29"/>
      <c r="N187" s="29"/>
      <c r="O187" s="6"/>
    </row>
    <row r="188" spans="1:15" ht="15.75">
      <c r="A188" s="95"/>
      <c r="B188" s="74" t="s">
        <v>130</v>
      </c>
      <c r="C188" s="96"/>
      <c r="D188" s="96"/>
      <c r="E188" s="96"/>
      <c r="F188" s="96"/>
      <c r="G188" s="96"/>
      <c r="H188" s="86"/>
      <c r="I188" s="86"/>
      <c r="J188" s="86"/>
      <c r="K188" s="97" t="s">
        <v>212</v>
      </c>
      <c r="L188" s="29"/>
      <c r="M188" s="29"/>
      <c r="N188" s="29"/>
      <c r="O188" s="6"/>
    </row>
    <row r="189" spans="1:15" ht="15.75">
      <c r="A189" s="95"/>
      <c r="B189" s="74" t="s">
        <v>131</v>
      </c>
      <c r="C189" s="96"/>
      <c r="D189" s="96"/>
      <c r="E189" s="99">
        <v>9.94</v>
      </c>
      <c r="F189" s="96"/>
      <c r="G189" s="99">
        <v>3.91</v>
      </c>
      <c r="H189" s="86"/>
      <c r="I189" s="86"/>
      <c r="J189" s="86"/>
      <c r="K189" s="100">
        <v>6.791</v>
      </c>
      <c r="L189" s="29"/>
      <c r="M189" s="29"/>
      <c r="N189" s="29"/>
      <c r="O189" s="6"/>
    </row>
    <row r="190" spans="1:15" ht="15.75">
      <c r="A190" s="95"/>
      <c r="B190" s="74" t="s">
        <v>132</v>
      </c>
      <c r="C190" s="96"/>
      <c r="D190" s="96"/>
      <c r="E190" s="101">
        <v>0</v>
      </c>
      <c r="F190" s="99"/>
      <c r="G190" s="101">
        <v>0</v>
      </c>
      <c r="H190" s="86"/>
      <c r="I190" s="86"/>
      <c r="J190" s="86"/>
      <c r="K190" s="100">
        <v>0</v>
      </c>
      <c r="L190" s="29"/>
      <c r="M190" s="29"/>
      <c r="N190" s="29"/>
      <c r="O190" s="6"/>
    </row>
    <row r="191" spans="1:15" ht="15.75">
      <c r="A191" s="95"/>
      <c r="B191" s="74" t="s">
        <v>231</v>
      </c>
      <c r="C191" s="96"/>
      <c r="D191" s="96"/>
      <c r="E191" s="101"/>
      <c r="F191" s="99"/>
      <c r="G191" s="99"/>
      <c r="H191" s="86"/>
      <c r="I191" s="86"/>
      <c r="J191" s="86"/>
      <c r="K191" s="97">
        <v>1</v>
      </c>
      <c r="L191" s="29"/>
      <c r="M191" s="29"/>
      <c r="N191" s="29"/>
      <c r="O191" s="6"/>
    </row>
    <row r="192" spans="1:15" ht="15.75">
      <c r="A192" s="95"/>
      <c r="B192" s="74" t="s">
        <v>232</v>
      </c>
      <c r="C192" s="96"/>
      <c r="D192" s="96"/>
      <c r="E192" s="101"/>
      <c r="F192" s="99"/>
      <c r="G192" s="99"/>
      <c r="H192" s="86"/>
      <c r="I192" s="86"/>
      <c r="J192" s="86"/>
      <c r="K192" s="97">
        <v>1</v>
      </c>
      <c r="L192" s="29"/>
      <c r="M192" s="29"/>
      <c r="N192" s="29"/>
      <c r="O192" s="6"/>
    </row>
    <row r="193" spans="1:15" ht="15.75">
      <c r="A193" s="95"/>
      <c r="B193" s="74" t="s">
        <v>233</v>
      </c>
      <c r="C193" s="96"/>
      <c r="D193" s="96"/>
      <c r="E193" s="101"/>
      <c r="F193" s="99"/>
      <c r="G193" s="99"/>
      <c r="H193" s="86"/>
      <c r="I193" s="86"/>
      <c r="J193" s="86"/>
      <c r="K193" s="97">
        <v>1</v>
      </c>
      <c r="L193" s="29"/>
      <c r="M193" s="29"/>
      <c r="N193" s="29"/>
      <c r="O193" s="6"/>
    </row>
    <row r="194" spans="1:15" ht="15.75">
      <c r="A194" s="95"/>
      <c r="B194" s="74" t="s">
        <v>234</v>
      </c>
      <c r="C194" s="96"/>
      <c r="D194" s="96"/>
      <c r="E194" s="101"/>
      <c r="F194" s="99"/>
      <c r="G194" s="99"/>
      <c r="H194" s="86"/>
      <c r="I194" s="86"/>
      <c r="J194" s="86"/>
      <c r="K194" s="97">
        <v>1</v>
      </c>
      <c r="L194" s="29"/>
      <c r="M194" s="29"/>
      <c r="N194" s="29"/>
      <c r="O194" s="6"/>
    </row>
    <row r="195" spans="1:15" ht="15.75">
      <c r="A195" s="95"/>
      <c r="B195" s="74"/>
      <c r="C195" s="74"/>
      <c r="D195" s="74"/>
      <c r="E195" s="74"/>
      <c r="F195" s="74"/>
      <c r="G195" s="74"/>
      <c r="H195" s="29"/>
      <c r="I195" s="29"/>
      <c r="J195" s="37"/>
      <c r="K195" s="102"/>
      <c r="L195" s="29"/>
      <c r="M195" s="103"/>
      <c r="N195" s="29"/>
      <c r="O195" s="6"/>
    </row>
    <row r="196" spans="1:15" ht="15.75">
      <c r="A196" s="104"/>
      <c r="B196" s="17" t="s">
        <v>134</v>
      </c>
      <c r="C196" s="20"/>
      <c r="D196" s="20"/>
      <c r="E196" s="105"/>
      <c r="F196" s="20"/>
      <c r="G196" s="105"/>
      <c r="H196" s="20"/>
      <c r="I196" s="105"/>
      <c r="J196" s="20" t="s">
        <v>206</v>
      </c>
      <c r="K196" s="105" t="s">
        <v>213</v>
      </c>
      <c r="L196" s="18"/>
      <c r="M196" s="18"/>
      <c r="N196" s="9"/>
      <c r="O196" s="6"/>
    </row>
    <row r="197" spans="1:15" ht="15.75">
      <c r="A197" s="106"/>
      <c r="B197" s="74" t="s">
        <v>135</v>
      </c>
      <c r="C197" s="67"/>
      <c r="D197" s="67"/>
      <c r="E197" s="67"/>
      <c r="F197" s="67"/>
      <c r="G197" s="29"/>
      <c r="H197" s="29"/>
      <c r="I197" s="29"/>
      <c r="J197" s="29">
        <v>0</v>
      </c>
      <c r="K197" s="66">
        <v>0</v>
      </c>
      <c r="L197" s="66"/>
      <c r="M197" s="103"/>
      <c r="N197" s="107"/>
      <c r="O197" s="6"/>
    </row>
    <row r="198" spans="1:15" ht="15.75">
      <c r="A198" s="106"/>
      <c r="B198" s="74" t="s">
        <v>136</v>
      </c>
      <c r="C198" s="67"/>
      <c r="D198" s="67"/>
      <c r="E198" s="67"/>
      <c r="F198" s="67"/>
      <c r="G198" s="29"/>
      <c r="H198" s="29"/>
      <c r="I198" s="29"/>
      <c r="J198" s="29">
        <v>0</v>
      </c>
      <c r="K198" s="66">
        <v>0</v>
      </c>
      <c r="L198" s="66"/>
      <c r="M198" s="103"/>
      <c r="N198" s="107"/>
      <c r="O198" s="6"/>
    </row>
    <row r="199" spans="1:15" ht="15.75">
      <c r="A199" s="106"/>
      <c r="B199" s="74"/>
      <c r="C199" s="67"/>
      <c r="D199" s="67"/>
      <c r="E199" s="67"/>
      <c r="F199" s="67"/>
      <c r="G199" s="29"/>
      <c r="H199" s="29"/>
      <c r="I199" s="29"/>
      <c r="J199" s="29"/>
      <c r="K199" s="66"/>
      <c r="L199" s="66"/>
      <c r="M199" s="103"/>
      <c r="N199" s="107"/>
      <c r="O199" s="6"/>
    </row>
    <row r="200" spans="1:15" ht="15.75">
      <c r="A200" s="106"/>
      <c r="B200" s="74" t="s">
        <v>137</v>
      </c>
      <c r="C200" s="67"/>
      <c r="D200" s="67"/>
      <c r="E200" s="67"/>
      <c r="F200" s="67"/>
      <c r="G200" s="29"/>
      <c r="H200" s="29"/>
      <c r="I200" s="29"/>
      <c r="J200" s="29">
        <v>0</v>
      </c>
      <c r="K200" s="66">
        <v>0</v>
      </c>
      <c r="L200" s="66"/>
      <c r="M200" s="103"/>
      <c r="N200" s="107"/>
      <c r="O200" s="6"/>
    </row>
    <row r="201" spans="1:15" ht="15.75">
      <c r="A201" s="106"/>
      <c r="B201" s="74" t="s">
        <v>138</v>
      </c>
      <c r="C201" s="67"/>
      <c r="D201" s="67"/>
      <c r="E201" s="67"/>
      <c r="F201" s="67"/>
      <c r="G201" s="29"/>
      <c r="H201" s="29"/>
      <c r="I201" s="29"/>
      <c r="J201" s="29">
        <v>0</v>
      </c>
      <c r="K201" s="66">
        <v>0</v>
      </c>
      <c r="L201" s="66"/>
      <c r="M201" s="103"/>
      <c r="N201" s="107"/>
      <c r="O201" s="6"/>
    </row>
    <row r="202" spans="1:15" ht="15.75">
      <c r="A202" s="106"/>
      <c r="B202" s="74"/>
      <c r="C202" s="67"/>
      <c r="D202" s="67"/>
      <c r="E202" s="67"/>
      <c r="F202" s="67"/>
      <c r="G202" s="29"/>
      <c r="H202" s="29"/>
      <c r="I202" s="29"/>
      <c r="J202" s="29"/>
      <c r="K202" s="66"/>
      <c r="L202" s="66"/>
      <c r="M202" s="103"/>
      <c r="N202" s="107"/>
      <c r="O202" s="6"/>
    </row>
    <row r="203" spans="1:15" ht="15.75">
      <c r="A203" s="106"/>
      <c r="B203" s="162" t="s">
        <v>139</v>
      </c>
      <c r="C203" s="67"/>
      <c r="D203" s="67"/>
      <c r="E203" s="67"/>
      <c r="F203" s="67"/>
      <c r="G203" s="29"/>
      <c r="H203" s="29"/>
      <c r="I203" s="29"/>
      <c r="J203" s="29"/>
      <c r="K203" s="73" t="s">
        <v>214</v>
      </c>
      <c r="L203" s="29"/>
      <c r="M203" s="103"/>
      <c r="N203" s="107"/>
      <c r="O203" s="6"/>
    </row>
    <row r="204" spans="1:15" ht="15.75">
      <c r="A204" s="106"/>
      <c r="B204" s="162" t="s">
        <v>140</v>
      </c>
      <c r="C204" s="67"/>
      <c r="D204" s="67"/>
      <c r="E204" s="67"/>
      <c r="F204" s="67"/>
      <c r="G204" s="29"/>
      <c r="H204" s="29"/>
      <c r="I204" s="29"/>
      <c r="J204" s="29"/>
      <c r="K204" s="66">
        <f>-I72</f>
        <v>0</v>
      </c>
      <c r="L204" s="29"/>
      <c r="M204" s="103"/>
      <c r="N204" s="107"/>
      <c r="O204" s="6"/>
    </row>
    <row r="205" spans="1:15" ht="15.75">
      <c r="A205" s="108"/>
      <c r="B205" s="162" t="s">
        <v>141</v>
      </c>
      <c r="C205" s="67"/>
      <c r="D205" s="67"/>
      <c r="E205" s="74"/>
      <c r="F205" s="74"/>
      <c r="G205" s="74"/>
      <c r="H205" s="29"/>
      <c r="I205" s="29"/>
      <c r="J205" s="29"/>
      <c r="K205" s="73"/>
      <c r="L205" s="29"/>
      <c r="M205" s="103"/>
      <c r="N205" s="109"/>
      <c r="O205" s="6"/>
    </row>
    <row r="206" spans="1:15" ht="15.75">
      <c r="A206" s="108"/>
      <c r="B206" s="74" t="s">
        <v>142</v>
      </c>
      <c r="C206" s="67"/>
      <c r="D206" s="67"/>
      <c r="E206" s="74"/>
      <c r="F206" s="74"/>
      <c r="G206" s="74"/>
      <c r="H206" s="29"/>
      <c r="I206" s="29"/>
      <c r="J206" s="29"/>
      <c r="K206" s="89">
        <f>I146</f>
        <v>0</v>
      </c>
      <c r="L206" s="29"/>
      <c r="M206" s="103"/>
      <c r="N206" s="109"/>
      <c r="O206" s="6"/>
    </row>
    <row r="207" spans="1:15" ht="15.75">
      <c r="A207" s="108"/>
      <c r="B207" s="74" t="s">
        <v>143</v>
      </c>
      <c r="C207" s="67"/>
      <c r="D207" s="67"/>
      <c r="E207" s="74"/>
      <c r="F207" s="74"/>
      <c r="G207" s="74"/>
      <c r="H207" s="29"/>
      <c r="I207" s="29"/>
      <c r="J207" s="29"/>
      <c r="K207" s="89">
        <f>'July 2004'!K203+'Oct 2004'!K206</f>
        <v>8495</v>
      </c>
      <c r="L207" s="29"/>
      <c r="M207" s="103"/>
      <c r="N207" s="109"/>
      <c r="O207" s="6"/>
    </row>
    <row r="208" spans="1:15" ht="15.75">
      <c r="A208" s="108"/>
      <c r="B208" s="74" t="s">
        <v>144</v>
      </c>
      <c r="C208" s="67"/>
      <c r="D208" s="67"/>
      <c r="E208" s="74"/>
      <c r="F208" s="74"/>
      <c r="G208" s="74"/>
      <c r="H208" s="29"/>
      <c r="I208" s="29"/>
      <c r="J208" s="29"/>
      <c r="K208" s="89">
        <f>39+13+24+37+79+95+96+27+47+27+200+44+35+53+194+32+40+38+177+51+42+40+23+56+33</f>
        <v>1542</v>
      </c>
      <c r="L208" s="29"/>
      <c r="M208" s="103"/>
      <c r="N208" s="109"/>
      <c r="O208" s="6"/>
    </row>
    <row r="209" spans="1:15" ht="15.75">
      <c r="A209" s="108"/>
      <c r="B209" s="74"/>
      <c r="C209" s="67"/>
      <c r="D209" s="67"/>
      <c r="E209" s="74"/>
      <c r="F209" s="74"/>
      <c r="G209" s="74"/>
      <c r="H209" s="29"/>
      <c r="I209" s="29"/>
      <c r="J209" s="29"/>
      <c r="K209" s="89"/>
      <c r="L209" s="29"/>
      <c r="M209" s="103"/>
      <c r="N209" s="109"/>
      <c r="O209" s="6"/>
    </row>
    <row r="210" spans="1:15" ht="15.75">
      <c r="A210" s="106"/>
      <c r="B210" s="74" t="s">
        <v>145</v>
      </c>
      <c r="C210" s="67"/>
      <c r="D210" s="67"/>
      <c r="E210" s="67"/>
      <c r="F210" s="67"/>
      <c r="G210" s="67"/>
      <c r="H210" s="29"/>
      <c r="I210" s="29"/>
      <c r="J210" s="29"/>
      <c r="K210" s="66">
        <f>G146</f>
        <v>0</v>
      </c>
      <c r="L210" s="29"/>
      <c r="M210" s="103"/>
      <c r="N210" s="109"/>
      <c r="O210" s="6"/>
    </row>
    <row r="211" spans="1:15" ht="15.75">
      <c r="A211" s="106"/>
      <c r="B211" s="74" t="s">
        <v>146</v>
      </c>
      <c r="C211" s="67"/>
      <c r="D211" s="67"/>
      <c r="E211" s="67"/>
      <c r="F211" s="67"/>
      <c r="G211" s="67"/>
      <c r="H211" s="29"/>
      <c r="I211" s="29"/>
      <c r="J211" s="29"/>
      <c r="K211" s="66">
        <f>'July 2004'!K207+'Oct 2004'!K210</f>
        <v>848</v>
      </c>
      <c r="L211" s="29"/>
      <c r="M211" s="103"/>
      <c r="N211" s="109"/>
      <c r="O211" s="6"/>
    </row>
    <row r="212" spans="1:15" ht="15.75">
      <c r="A212" s="106"/>
      <c r="B212" s="74" t="s">
        <v>144</v>
      </c>
      <c r="C212" s="67"/>
      <c r="D212" s="67"/>
      <c r="E212" s="67"/>
      <c r="F212" s="67"/>
      <c r="G212" s="67"/>
      <c r="H212" s="29"/>
      <c r="I212" s="29"/>
      <c r="J212" s="29"/>
      <c r="K212" s="66"/>
      <c r="L212" s="29"/>
      <c r="M212" s="103"/>
      <c r="N212" s="109"/>
      <c r="O212" s="6"/>
    </row>
    <row r="213" spans="1:15" ht="15.75">
      <c r="A213" s="106"/>
      <c r="B213" s="74"/>
      <c r="C213" s="67"/>
      <c r="D213" s="67"/>
      <c r="E213" s="67"/>
      <c r="F213" s="67"/>
      <c r="G213" s="67"/>
      <c r="H213" s="29"/>
      <c r="I213" s="29"/>
      <c r="J213" s="29"/>
      <c r="K213" s="66"/>
      <c r="L213" s="29"/>
      <c r="M213" s="103"/>
      <c r="N213" s="109"/>
      <c r="O213" s="6"/>
    </row>
    <row r="214" spans="1:15" ht="15.75">
      <c r="A214" s="108"/>
      <c r="B214" s="162" t="s">
        <v>147</v>
      </c>
      <c r="C214" s="67"/>
      <c r="D214" s="67"/>
      <c r="E214" s="74"/>
      <c r="F214" s="74"/>
      <c r="G214" s="74"/>
      <c r="H214" s="29"/>
      <c r="I214" s="29"/>
      <c r="J214" s="29"/>
      <c r="K214" s="110"/>
      <c r="L214" s="29"/>
      <c r="M214" s="103"/>
      <c r="N214" s="109"/>
      <c r="O214" s="6"/>
    </row>
    <row r="215" spans="1:15" ht="15.75">
      <c r="A215" s="108"/>
      <c r="B215" s="74" t="s">
        <v>148</v>
      </c>
      <c r="C215" s="67"/>
      <c r="D215" s="67"/>
      <c r="E215" s="74"/>
      <c r="F215" s="74"/>
      <c r="G215" s="74"/>
      <c r="H215" s="29"/>
      <c r="I215" s="29"/>
      <c r="J215" s="29"/>
      <c r="K215" s="110">
        <v>0</v>
      </c>
      <c r="L215" s="29"/>
      <c r="M215" s="103"/>
      <c r="N215" s="109"/>
      <c r="O215" s="6"/>
    </row>
    <row r="216" spans="1:15" ht="15.75">
      <c r="A216" s="106"/>
      <c r="B216" s="74" t="s">
        <v>149</v>
      </c>
      <c r="C216" s="67"/>
      <c r="D216" s="67"/>
      <c r="E216" s="111"/>
      <c r="F216" s="111"/>
      <c r="G216" s="112"/>
      <c r="H216" s="29"/>
      <c r="I216" s="29"/>
      <c r="J216" s="29"/>
      <c r="K216" s="110">
        <v>0</v>
      </c>
      <c r="L216" s="29"/>
      <c r="M216" s="103"/>
      <c r="N216" s="109"/>
      <c r="O216" s="6"/>
    </row>
    <row r="217" spans="1:15" ht="15.75">
      <c r="A217" s="106"/>
      <c r="B217" s="74" t="s">
        <v>150</v>
      </c>
      <c r="C217" s="67"/>
      <c r="D217" s="67"/>
      <c r="E217" s="111"/>
      <c r="F217" s="111"/>
      <c r="G217" s="112"/>
      <c r="H217" s="29"/>
      <c r="I217" s="29"/>
      <c r="J217" s="29"/>
      <c r="K217" s="110">
        <v>0</v>
      </c>
      <c r="L217" s="29"/>
      <c r="M217" s="103"/>
      <c r="N217" s="109"/>
      <c r="O217" s="6"/>
    </row>
    <row r="218" spans="1:15" ht="15.75">
      <c r="A218" s="106"/>
      <c r="B218" s="74" t="s">
        <v>151</v>
      </c>
      <c r="C218" s="67"/>
      <c r="D218" s="67"/>
      <c r="E218" s="113"/>
      <c r="F218" s="111"/>
      <c r="G218" s="112"/>
      <c r="H218" s="29"/>
      <c r="I218" s="29"/>
      <c r="J218" s="29"/>
      <c r="K218" s="110">
        <v>0</v>
      </c>
      <c r="L218" s="29"/>
      <c r="M218" s="103"/>
      <c r="N218" s="109"/>
      <c r="O218" s="6"/>
    </row>
    <row r="219" spans="1:15" ht="15.75">
      <c r="A219" s="106"/>
      <c r="B219" s="74"/>
      <c r="C219" s="67"/>
      <c r="D219" s="67"/>
      <c r="E219" s="113"/>
      <c r="F219" s="111"/>
      <c r="G219" s="112"/>
      <c r="H219" s="29"/>
      <c r="I219" s="37"/>
      <c r="J219" s="37"/>
      <c r="K219" s="114"/>
      <c r="L219" s="37"/>
      <c r="M219" s="103"/>
      <c r="N219" s="109"/>
      <c r="O219" s="6"/>
    </row>
    <row r="220" spans="1:15" ht="15.75">
      <c r="A220" s="106"/>
      <c r="B220" s="162" t="s">
        <v>152</v>
      </c>
      <c r="C220" s="67"/>
      <c r="D220" s="67"/>
      <c r="E220" s="113"/>
      <c r="F220" s="111"/>
      <c r="G220" s="112"/>
      <c r="H220" s="29"/>
      <c r="I220" s="37"/>
      <c r="J220" s="37"/>
      <c r="K220" s="114"/>
      <c r="L220" s="37"/>
      <c r="M220" s="103"/>
      <c r="N220" s="109"/>
      <c r="O220" s="6"/>
    </row>
    <row r="221" spans="1:15" ht="15.75">
      <c r="A221" s="106"/>
      <c r="B221" s="74" t="s">
        <v>153</v>
      </c>
      <c r="C221" s="67"/>
      <c r="D221" s="67"/>
      <c r="E221" s="113"/>
      <c r="F221" s="111"/>
      <c r="G221" s="112"/>
      <c r="H221" s="29"/>
      <c r="I221" s="37"/>
      <c r="J221" s="37"/>
      <c r="K221" s="115">
        <v>0</v>
      </c>
      <c r="L221" s="37"/>
      <c r="M221" s="103"/>
      <c r="N221" s="109"/>
      <c r="O221" s="6"/>
    </row>
    <row r="222" spans="1:15" ht="15.75">
      <c r="A222" s="106"/>
      <c r="B222" s="74" t="s">
        <v>149</v>
      </c>
      <c r="C222" s="67"/>
      <c r="D222" s="67"/>
      <c r="E222" s="113"/>
      <c r="F222" s="111"/>
      <c r="G222" s="112"/>
      <c r="H222" s="29"/>
      <c r="I222" s="37"/>
      <c r="J222" s="37"/>
      <c r="K222" s="115">
        <v>0</v>
      </c>
      <c r="L222" s="37"/>
      <c r="M222" s="103"/>
      <c r="N222" s="109"/>
      <c r="O222" s="6"/>
    </row>
    <row r="223" spans="1:15" ht="15.75">
      <c r="A223" s="106"/>
      <c r="B223" s="74" t="s">
        <v>154</v>
      </c>
      <c r="C223" s="67"/>
      <c r="D223" s="67"/>
      <c r="E223" s="113"/>
      <c r="F223" s="111"/>
      <c r="G223" s="112"/>
      <c r="H223" s="29"/>
      <c r="I223" s="37"/>
      <c r="J223" s="37"/>
      <c r="K223" s="115">
        <v>0</v>
      </c>
      <c r="L223" s="37"/>
      <c r="M223" s="103"/>
      <c r="N223" s="109"/>
      <c r="O223" s="6"/>
    </row>
    <row r="224" spans="1:15" ht="15.75">
      <c r="A224" s="106"/>
      <c r="B224" s="74"/>
      <c r="C224" s="67"/>
      <c r="D224" s="67"/>
      <c r="E224" s="113"/>
      <c r="F224" s="111"/>
      <c r="G224" s="112"/>
      <c r="H224" s="29"/>
      <c r="I224" s="37"/>
      <c r="J224" s="37"/>
      <c r="K224" s="114"/>
      <c r="L224" s="37"/>
      <c r="M224" s="103"/>
      <c r="N224" s="109"/>
      <c r="O224" s="6"/>
    </row>
    <row r="225" spans="1:15" ht="15.75">
      <c r="A225" s="28"/>
      <c r="B225" s="32" t="s">
        <v>155</v>
      </c>
      <c r="C225" s="119"/>
      <c r="D225" s="119"/>
      <c r="E225" s="120"/>
      <c r="F225" s="119"/>
      <c r="G225" s="120"/>
      <c r="H225" s="119"/>
      <c r="I225" s="120" t="s">
        <v>206</v>
      </c>
      <c r="J225" s="119" t="s">
        <v>208</v>
      </c>
      <c r="K225" s="120" t="s">
        <v>215</v>
      </c>
      <c r="L225" s="119" t="s">
        <v>208</v>
      </c>
      <c r="M225" s="121"/>
      <c r="N225" s="109"/>
      <c r="O225" s="6"/>
    </row>
    <row r="226" spans="1:15" ht="15.75">
      <c r="A226" s="28"/>
      <c r="B226" s="67" t="s">
        <v>156</v>
      </c>
      <c r="C226" s="116"/>
      <c r="D226" s="116"/>
      <c r="E226" s="67"/>
      <c r="F226" s="116"/>
      <c r="G226" s="29"/>
      <c r="H226" s="116"/>
      <c r="I226" s="67">
        <v>0</v>
      </c>
      <c r="J226" s="116">
        <v>0</v>
      </c>
      <c r="K226" s="66">
        <v>0</v>
      </c>
      <c r="L226" s="117">
        <v>0</v>
      </c>
      <c r="M226" s="103"/>
      <c r="N226" s="109"/>
      <c r="O226" s="6"/>
    </row>
    <row r="227" spans="1:15" ht="15.75">
      <c r="A227" s="28"/>
      <c r="B227" s="67" t="s">
        <v>157</v>
      </c>
      <c r="C227" s="116"/>
      <c r="D227" s="116"/>
      <c r="E227" s="67"/>
      <c r="F227" s="116"/>
      <c r="G227" s="29"/>
      <c r="H227" s="118"/>
      <c r="I227" s="67">
        <v>0</v>
      </c>
      <c r="J227" s="116">
        <v>0</v>
      </c>
      <c r="K227" s="66">
        <v>0</v>
      </c>
      <c r="L227" s="117">
        <v>0</v>
      </c>
      <c r="M227" s="103"/>
      <c r="N227" s="109"/>
      <c r="O227" s="6"/>
    </row>
    <row r="228" spans="1:15" ht="15.75">
      <c r="A228" s="28"/>
      <c r="B228" s="67" t="s">
        <v>158</v>
      </c>
      <c r="C228" s="116"/>
      <c r="D228" s="116"/>
      <c r="E228" s="67"/>
      <c r="F228" s="116"/>
      <c r="G228" s="29"/>
      <c r="H228" s="118"/>
      <c r="I228" s="67">
        <v>0</v>
      </c>
      <c r="J228" s="116">
        <v>0</v>
      </c>
      <c r="K228" s="66">
        <v>0</v>
      </c>
      <c r="L228" s="117">
        <v>0</v>
      </c>
      <c r="M228" s="103"/>
      <c r="N228" s="109"/>
      <c r="O228" s="6"/>
    </row>
    <row r="229" spans="1:15" ht="15.75">
      <c r="A229" s="28"/>
      <c r="B229" s="67" t="s">
        <v>159</v>
      </c>
      <c r="C229" s="116"/>
      <c r="D229" s="116"/>
      <c r="E229" s="67"/>
      <c r="F229" s="116"/>
      <c r="G229" s="29"/>
      <c r="H229" s="118"/>
      <c r="I229" s="67">
        <v>0</v>
      </c>
      <c r="J229" s="116">
        <v>0</v>
      </c>
      <c r="K229" s="66">
        <v>0</v>
      </c>
      <c r="L229" s="117">
        <v>0</v>
      </c>
      <c r="M229" s="103"/>
      <c r="N229" s="109"/>
      <c r="O229" s="6"/>
    </row>
    <row r="230" spans="1:15" ht="15.75">
      <c r="A230" s="28"/>
      <c r="B230" s="29"/>
      <c r="C230" s="29"/>
      <c r="D230" s="29"/>
      <c r="E230" s="37"/>
      <c r="F230" s="29"/>
      <c r="G230" s="29"/>
      <c r="H230" s="29"/>
      <c r="I230" s="65">
        <f>SUM(I226:I229)</f>
        <v>0</v>
      </c>
      <c r="J230" s="117">
        <f>SUM(J226:J229)</f>
        <v>0</v>
      </c>
      <c r="K230" s="66">
        <f>SUM(K226:K229)</f>
        <v>0</v>
      </c>
      <c r="L230" s="117">
        <f>SUM(L226:L229)</f>
        <v>0</v>
      </c>
      <c r="M230" s="103"/>
      <c r="N230" s="29"/>
      <c r="O230" s="6"/>
    </row>
    <row r="231" spans="1:15" ht="15.75">
      <c r="A231" s="28"/>
      <c r="B231" s="29"/>
      <c r="C231" s="29"/>
      <c r="D231" s="29"/>
      <c r="E231" s="37"/>
      <c r="F231" s="29"/>
      <c r="G231" s="29"/>
      <c r="H231" s="29"/>
      <c r="I231" s="65"/>
      <c r="J231" s="117"/>
      <c r="K231" s="66"/>
      <c r="L231" s="117"/>
      <c r="M231" s="103"/>
      <c r="N231" s="29"/>
      <c r="O231" s="6"/>
    </row>
    <row r="232" spans="1:15" ht="15.75">
      <c r="A232" s="28"/>
      <c r="B232" s="32" t="s">
        <v>160</v>
      </c>
      <c r="C232" s="119"/>
      <c r="D232" s="119"/>
      <c r="E232" s="120"/>
      <c r="F232" s="119"/>
      <c r="G232" s="120"/>
      <c r="H232" s="119"/>
      <c r="I232" s="120" t="s">
        <v>206</v>
      </c>
      <c r="J232" s="119" t="s">
        <v>208</v>
      </c>
      <c r="K232" s="120" t="s">
        <v>215</v>
      </c>
      <c r="L232" s="119" t="s">
        <v>208</v>
      </c>
      <c r="M232" s="121"/>
      <c r="N232" s="109"/>
      <c r="O232" s="6"/>
    </row>
    <row r="233" spans="1:15" ht="15.75">
      <c r="A233" s="28"/>
      <c r="B233" s="67" t="s">
        <v>156</v>
      </c>
      <c r="C233" s="116"/>
      <c r="D233" s="116"/>
      <c r="E233" s="67"/>
      <c r="F233" s="116"/>
      <c r="G233" s="29"/>
      <c r="H233" s="116"/>
      <c r="I233" s="67">
        <v>0</v>
      </c>
      <c r="J233" s="116">
        <v>0</v>
      </c>
      <c r="K233" s="66">
        <v>0</v>
      </c>
      <c r="L233" s="116">
        <v>0</v>
      </c>
      <c r="M233" s="103"/>
      <c r="N233" s="109"/>
      <c r="O233" s="6"/>
    </row>
    <row r="234" spans="1:15" ht="15.75">
      <c r="A234" s="28"/>
      <c r="B234" s="67" t="s">
        <v>157</v>
      </c>
      <c r="C234" s="116"/>
      <c r="D234" s="116"/>
      <c r="E234" s="67"/>
      <c r="F234" s="116"/>
      <c r="G234" s="29"/>
      <c r="H234" s="118"/>
      <c r="I234" s="67">
        <v>0</v>
      </c>
      <c r="J234" s="116">
        <v>0</v>
      </c>
      <c r="K234" s="66">
        <v>0</v>
      </c>
      <c r="L234" s="116">
        <v>0</v>
      </c>
      <c r="M234" s="103"/>
      <c r="N234" s="109"/>
      <c r="O234" s="6"/>
    </row>
    <row r="235" spans="1:15" ht="15.75">
      <c r="A235" s="28"/>
      <c r="B235" s="67" t="s">
        <v>158</v>
      </c>
      <c r="C235" s="116"/>
      <c r="D235" s="116"/>
      <c r="E235" s="67"/>
      <c r="F235" s="116"/>
      <c r="G235" s="29"/>
      <c r="H235" s="118"/>
      <c r="I235" s="67">
        <v>0</v>
      </c>
      <c r="J235" s="116">
        <v>0</v>
      </c>
      <c r="K235" s="66">
        <v>0</v>
      </c>
      <c r="L235" s="116">
        <v>0</v>
      </c>
      <c r="M235" s="103"/>
      <c r="N235" s="109"/>
      <c r="O235" s="6"/>
    </row>
    <row r="236" spans="1:15" ht="15.75">
      <c r="A236" s="28"/>
      <c r="B236" s="67" t="s">
        <v>159</v>
      </c>
      <c r="C236" s="116"/>
      <c r="D236" s="116"/>
      <c r="E236" s="67"/>
      <c r="F236" s="116"/>
      <c r="G236" s="29"/>
      <c r="H236" s="118"/>
      <c r="I236" s="67">
        <v>0</v>
      </c>
      <c r="J236" s="116">
        <v>0</v>
      </c>
      <c r="K236" s="66">
        <v>0</v>
      </c>
      <c r="L236" s="116">
        <v>0</v>
      </c>
      <c r="M236" s="103"/>
      <c r="N236" s="109"/>
      <c r="O236" s="6"/>
    </row>
    <row r="237" spans="1:15" ht="15.75">
      <c r="A237" s="28"/>
      <c r="B237" s="29"/>
      <c r="C237" s="29"/>
      <c r="D237" s="29"/>
      <c r="E237" s="37"/>
      <c r="F237" s="29"/>
      <c r="G237" s="29"/>
      <c r="H237" s="29"/>
      <c r="I237" s="65">
        <f>SUM(I233:I236)</f>
        <v>0</v>
      </c>
      <c r="J237" s="117">
        <f>SUM(J233:J236)</f>
        <v>0</v>
      </c>
      <c r="K237" s="66">
        <f>SUM(K233:K236)</f>
        <v>0</v>
      </c>
      <c r="L237" s="117">
        <f>SUM(L233:L236)</f>
        <v>0</v>
      </c>
      <c r="M237" s="103"/>
      <c r="N237" s="29"/>
      <c r="O237" s="6"/>
    </row>
    <row r="238" spans="1:15" ht="15.75">
      <c r="A238" s="28"/>
      <c r="B238" s="29"/>
      <c r="C238" s="29"/>
      <c r="D238" s="29"/>
      <c r="E238" s="37"/>
      <c r="F238" s="29"/>
      <c r="G238" s="29"/>
      <c r="H238" s="29"/>
      <c r="I238" s="65"/>
      <c r="J238" s="117"/>
      <c r="K238" s="66"/>
      <c r="L238" s="117"/>
      <c r="M238" s="103"/>
      <c r="N238" s="29"/>
      <c r="O238" s="6"/>
    </row>
    <row r="239" spans="1:15" ht="15.75">
      <c r="A239" s="28"/>
      <c r="B239" s="29" t="s">
        <v>161</v>
      </c>
      <c r="C239" s="29"/>
      <c r="D239" s="29"/>
      <c r="E239" s="37"/>
      <c r="F239" s="29"/>
      <c r="G239" s="29"/>
      <c r="H239" s="29"/>
      <c r="I239" s="65"/>
      <c r="J239" s="117"/>
      <c r="K239" s="66">
        <f>K230+K237</f>
        <v>0</v>
      </c>
      <c r="L239" s="117"/>
      <c r="M239" s="103"/>
      <c r="N239" s="29"/>
      <c r="O239" s="6"/>
    </row>
    <row r="240" spans="1:15" ht="15.75">
      <c r="A240" s="28"/>
      <c r="B240" s="29"/>
      <c r="C240" s="29"/>
      <c r="D240" s="29"/>
      <c r="E240" s="37"/>
      <c r="F240" s="29"/>
      <c r="G240" s="29"/>
      <c r="H240" s="29"/>
      <c r="I240" s="65"/>
      <c r="J240" s="117"/>
      <c r="K240" s="66"/>
      <c r="L240" s="117"/>
      <c r="M240" s="103"/>
      <c r="N240" s="29"/>
      <c r="O240" s="6"/>
    </row>
    <row r="241" spans="1:15" ht="15.75">
      <c r="A241" s="28"/>
      <c r="B241" s="29"/>
      <c r="C241" s="29"/>
      <c r="D241" s="29"/>
      <c r="E241" s="37"/>
      <c r="F241" s="29"/>
      <c r="G241" s="29"/>
      <c r="H241" s="29"/>
      <c r="I241" s="65"/>
      <c r="J241" s="117"/>
      <c r="K241" s="66"/>
      <c r="L241" s="117"/>
      <c r="M241" s="103"/>
      <c r="N241" s="29"/>
      <c r="O241" s="6"/>
    </row>
    <row r="242" spans="1:15" ht="15.75">
      <c r="A242" s="122"/>
      <c r="B242" s="17" t="s">
        <v>162</v>
      </c>
      <c r="C242" s="123"/>
      <c r="D242" s="123"/>
      <c r="E242" s="20" t="s">
        <v>182</v>
      </c>
      <c r="F242" s="18"/>
      <c r="G242" s="17" t="s">
        <v>194</v>
      </c>
      <c r="H242" s="124"/>
      <c r="I242" s="124"/>
      <c r="J242" s="124"/>
      <c r="K242" s="125"/>
      <c r="L242" s="14"/>
      <c r="M242" s="14"/>
      <c r="N242" s="14"/>
      <c r="O242" s="6"/>
    </row>
    <row r="243" spans="1:15" ht="15.75">
      <c r="A243" s="122"/>
      <c r="B243" s="15" t="s">
        <v>163</v>
      </c>
      <c r="C243" s="126"/>
      <c r="D243" s="126"/>
      <c r="E243" s="127" t="s">
        <v>183</v>
      </c>
      <c r="F243" s="15"/>
      <c r="G243" s="15" t="s">
        <v>195</v>
      </c>
      <c r="H243" s="126"/>
      <c r="I243" s="126"/>
      <c r="J243" s="14"/>
      <c r="K243" s="14"/>
      <c r="L243" s="14"/>
      <c r="M243" s="14"/>
      <c r="N243" s="14"/>
      <c r="O243" s="6"/>
    </row>
    <row r="244" spans="1:15" ht="15.75">
      <c r="A244" s="122"/>
      <c r="B244" s="15" t="s">
        <v>164</v>
      </c>
      <c r="C244" s="126"/>
      <c r="D244" s="126"/>
      <c r="E244" s="127" t="s">
        <v>184</v>
      </c>
      <c r="F244" s="15"/>
      <c r="G244" s="15" t="s">
        <v>196</v>
      </c>
      <c r="H244" s="126"/>
      <c r="I244" s="126"/>
      <c r="J244" s="14"/>
      <c r="K244" s="14"/>
      <c r="L244" s="14"/>
      <c r="M244" s="14"/>
      <c r="N244" s="14"/>
      <c r="O244" s="6"/>
    </row>
    <row r="245" spans="1:15" ht="15.75">
      <c r="A245" s="122"/>
      <c r="B245" s="15"/>
      <c r="C245" s="126"/>
      <c r="D245" s="126"/>
      <c r="E245" s="127"/>
      <c r="F245" s="15"/>
      <c r="G245" s="15"/>
      <c r="H245" s="126"/>
      <c r="I245" s="126"/>
      <c r="J245" s="14"/>
      <c r="K245" s="14"/>
      <c r="L245" s="14"/>
      <c r="M245" s="14"/>
      <c r="N245" s="14"/>
      <c r="O245" s="6"/>
    </row>
    <row r="246" spans="1:15" ht="15.75">
      <c r="A246" s="122"/>
      <c r="B246" s="15"/>
      <c r="C246" s="126"/>
      <c r="D246" s="126"/>
      <c r="E246" s="127"/>
      <c r="F246" s="15"/>
      <c r="G246" s="15"/>
      <c r="H246" s="126"/>
      <c r="I246" s="126"/>
      <c r="J246" s="14"/>
      <c r="K246" s="14"/>
      <c r="L246" s="14"/>
      <c r="M246" s="14"/>
      <c r="N246" s="14"/>
      <c r="O246" s="6"/>
    </row>
    <row r="247" spans="1:15" ht="16.5" thickBot="1">
      <c r="A247" s="122"/>
      <c r="B247" s="15" t="str">
        <f>B178</f>
        <v>PASF1 INVESTOR REPORT QUARTER ENDING OCTOBER 2004</v>
      </c>
      <c r="C247" s="126"/>
      <c r="D247" s="126"/>
      <c r="E247" s="127"/>
      <c r="F247" s="15"/>
      <c r="G247" s="15"/>
      <c r="H247" s="126"/>
      <c r="I247" s="126"/>
      <c r="J247" s="14"/>
      <c r="K247" s="14"/>
      <c r="L247" s="14"/>
      <c r="M247" s="14"/>
      <c r="N247" s="14"/>
      <c r="O247" s="6"/>
    </row>
    <row r="248" spans="1:14" ht="15">
      <c r="A248" s="130"/>
      <c r="B248" s="130"/>
      <c r="C248" s="130"/>
      <c r="D248" s="130"/>
      <c r="E248" s="130"/>
      <c r="F248" s="130"/>
      <c r="G248" s="130"/>
      <c r="H248" s="130"/>
      <c r="I248" s="130"/>
      <c r="J248" s="130"/>
      <c r="K248" s="130"/>
      <c r="L248" s="130"/>
      <c r="M248" s="130"/>
      <c r="N248" s="130"/>
    </row>
  </sheetData>
  <printOptions horizontalCentered="1" verticalCentered="1"/>
  <pageMargins left="0.2362204724409449" right="0.4330708661417323" top="0.2362204724409449" bottom="0.31496062992125984" header="0" footer="0"/>
  <pageSetup horizontalDpi="600" verticalDpi="600" orientation="landscape" paperSize="9" scale="48" r:id="rId2"/>
  <rowBreaks count="3" manualBreakCount="3">
    <brk id="53" max="14" man="1"/>
    <brk id="119" max="14" man="1"/>
    <brk id="178" max="14" man="1"/>
  </rowBreaks>
  <drawing r:id="rId1"/>
</worksheet>
</file>

<file path=xl/worksheets/sheet2.xml><?xml version="1.0" encoding="utf-8"?>
<worksheet xmlns="http://schemas.openxmlformats.org/spreadsheetml/2006/main" xmlns:r="http://schemas.openxmlformats.org/officeDocument/2006/relationships">
  <dimension ref="A1:O24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49.6640625" style="1" customWidth="1"/>
    <col min="3" max="3" width="12.6640625" style="1" customWidth="1"/>
    <col min="4" max="4" width="18.6640625" style="1" customWidth="1"/>
    <col min="5" max="5" width="14.6640625" style="1" customWidth="1"/>
    <col min="6" max="6" width="4.6640625" style="1" customWidth="1"/>
    <col min="7" max="7" width="14.6640625" style="1" customWidth="1"/>
    <col min="8" max="8" width="4.6640625" style="1" customWidth="1"/>
    <col min="9" max="9" width="19.6640625" style="1" customWidth="1"/>
    <col min="10" max="10" width="6.6640625" style="1" customWidth="1"/>
    <col min="11" max="11" width="11.6640625" style="1" customWidth="1"/>
    <col min="12" max="12" width="8.6640625" style="1" customWidth="1"/>
    <col min="13" max="13" width="14.6640625" style="1" customWidth="1"/>
    <col min="14" max="14" width="2.6640625" style="1" customWidth="1"/>
    <col min="15" max="16384" width="9.6640625" style="1" customWidth="1"/>
  </cols>
  <sheetData>
    <row r="1" spans="1:15" ht="20.25">
      <c r="A1" s="2"/>
      <c r="B1" s="3" t="s">
        <v>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44" t="s">
        <v>1</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2</v>
      </c>
      <c r="C5" s="13"/>
      <c r="D5" s="13"/>
      <c r="E5" s="9"/>
      <c r="F5" s="9"/>
      <c r="G5" s="9"/>
      <c r="H5" s="9"/>
      <c r="I5" s="9"/>
      <c r="J5" s="9"/>
      <c r="K5" s="9"/>
      <c r="L5" s="9"/>
      <c r="M5" s="9"/>
      <c r="N5" s="9"/>
      <c r="O5" s="6"/>
    </row>
    <row r="6" spans="1:15" ht="15.75">
      <c r="A6" s="7"/>
      <c r="B6" s="12" t="s">
        <v>3</v>
      </c>
      <c r="C6" s="13"/>
      <c r="D6" s="13"/>
      <c r="E6" s="9"/>
      <c r="F6" s="9"/>
      <c r="G6" s="9"/>
      <c r="H6" s="9"/>
      <c r="I6" s="9"/>
      <c r="J6" s="9"/>
      <c r="K6" s="9"/>
      <c r="L6" s="9"/>
      <c r="M6" s="9"/>
      <c r="N6" s="9"/>
      <c r="O6" s="6"/>
    </row>
    <row r="7" spans="1:15" ht="15.75">
      <c r="A7" s="7"/>
      <c r="B7" s="12" t="s">
        <v>4</v>
      </c>
      <c r="C7" s="13"/>
      <c r="D7" s="13"/>
      <c r="E7" s="9"/>
      <c r="F7" s="9"/>
      <c r="G7" s="9"/>
      <c r="H7" s="9"/>
      <c r="I7" s="9"/>
      <c r="J7" s="9"/>
      <c r="K7" s="9"/>
      <c r="L7" s="9"/>
      <c r="M7" s="9"/>
      <c r="N7" s="9"/>
      <c r="O7" s="6"/>
    </row>
    <row r="8" spans="1:15" ht="15.75">
      <c r="A8" s="7"/>
      <c r="B8" s="14"/>
      <c r="C8" s="13"/>
      <c r="D8" s="13"/>
      <c r="E8" s="9"/>
      <c r="F8" s="9"/>
      <c r="G8" s="9"/>
      <c r="H8" s="9"/>
      <c r="I8" s="9"/>
      <c r="J8" s="9"/>
      <c r="K8" s="9"/>
      <c r="L8" s="9"/>
      <c r="M8" s="9"/>
      <c r="N8" s="9"/>
      <c r="O8" s="6"/>
    </row>
    <row r="9" spans="1:15" ht="15.75">
      <c r="A9" s="7"/>
      <c r="B9" s="13"/>
      <c r="C9" s="13"/>
      <c r="D9" s="13"/>
      <c r="E9" s="15"/>
      <c r="F9" s="15"/>
      <c r="G9" s="9"/>
      <c r="H9" s="9"/>
      <c r="I9" s="9"/>
      <c r="J9" s="9"/>
      <c r="K9" s="9"/>
      <c r="L9" s="9"/>
      <c r="M9" s="9"/>
      <c r="N9" s="9"/>
      <c r="O9" s="6"/>
    </row>
    <row r="10" spans="1:15" ht="15.75">
      <c r="A10" s="7"/>
      <c r="B10" s="15" t="s">
        <v>5</v>
      </c>
      <c r="C10" s="15"/>
      <c r="D10" s="15"/>
      <c r="E10" s="9"/>
      <c r="F10" s="9"/>
      <c r="G10" s="9"/>
      <c r="H10" s="9"/>
      <c r="I10" s="9"/>
      <c r="J10" s="9"/>
      <c r="K10" s="9"/>
      <c r="L10" s="9"/>
      <c r="M10" s="9"/>
      <c r="N10" s="9"/>
      <c r="O10" s="6"/>
    </row>
    <row r="11" spans="1:15" ht="15.75">
      <c r="A11" s="7"/>
      <c r="B11" s="15"/>
      <c r="C11" s="15"/>
      <c r="D11" s="15"/>
      <c r="E11" s="9"/>
      <c r="F11" s="9"/>
      <c r="G11" s="9"/>
      <c r="H11" s="9"/>
      <c r="I11" s="9"/>
      <c r="J11" s="9"/>
      <c r="K11" s="9"/>
      <c r="L11" s="9"/>
      <c r="M11" s="9"/>
      <c r="N11" s="9"/>
      <c r="O11" s="6"/>
    </row>
    <row r="12" spans="1:15" ht="15.75">
      <c r="A12" s="2"/>
      <c r="B12" s="5"/>
      <c r="C12" s="5"/>
      <c r="D12" s="5"/>
      <c r="E12" s="5"/>
      <c r="F12" s="5"/>
      <c r="G12" s="5"/>
      <c r="H12" s="5"/>
      <c r="I12" s="5"/>
      <c r="J12" s="5"/>
      <c r="K12" s="5"/>
      <c r="L12" s="5"/>
      <c r="M12" s="5"/>
      <c r="N12" s="5"/>
      <c r="O12" s="6"/>
    </row>
    <row r="13" spans="1:15" ht="15.75">
      <c r="A13" s="7"/>
      <c r="B13" s="17" t="s">
        <v>6</v>
      </c>
      <c r="C13" s="17"/>
      <c r="D13" s="17"/>
      <c r="E13" s="18"/>
      <c r="F13" s="18"/>
      <c r="G13" s="18"/>
      <c r="H13" s="18"/>
      <c r="I13" s="18"/>
      <c r="J13" s="18"/>
      <c r="K13" s="18"/>
      <c r="L13" s="18"/>
      <c r="M13" s="19" t="s">
        <v>217</v>
      </c>
      <c r="N13" s="9"/>
      <c r="O13" s="6"/>
    </row>
    <row r="14" spans="1:15" ht="15.75">
      <c r="A14" s="7"/>
      <c r="B14" s="17" t="s">
        <v>7</v>
      </c>
      <c r="C14" s="17"/>
      <c r="D14" s="18"/>
      <c r="E14" s="18"/>
      <c r="F14" s="18"/>
      <c r="G14" s="18"/>
      <c r="H14" s="20" t="s">
        <v>197</v>
      </c>
      <c r="I14" s="21">
        <v>0.52</v>
      </c>
      <c r="J14" s="20" t="s">
        <v>207</v>
      </c>
      <c r="K14" s="21">
        <v>0.48</v>
      </c>
      <c r="L14" s="18"/>
      <c r="M14" s="19"/>
      <c r="N14" s="9"/>
      <c r="O14" s="6"/>
    </row>
    <row r="15" spans="1:15" ht="15.75">
      <c r="A15" s="7"/>
      <c r="B15" s="17" t="s">
        <v>8</v>
      </c>
      <c r="C15" s="17"/>
      <c r="D15" s="18"/>
      <c r="E15" s="18"/>
      <c r="F15" s="18"/>
      <c r="G15" s="18"/>
      <c r="H15" s="20" t="s">
        <v>197</v>
      </c>
      <c r="I15" s="21">
        <f>K230/K232</f>
        <v>0.5201075427391635</v>
      </c>
      <c r="J15" s="20" t="s">
        <v>207</v>
      </c>
      <c r="K15" s="21">
        <f>K223/K232</f>
        <v>0.4798924572608365</v>
      </c>
      <c r="L15" s="18"/>
      <c r="M15" s="19"/>
      <c r="N15" s="9"/>
      <c r="O15" s="6"/>
    </row>
    <row r="16" spans="1:15" ht="15.75">
      <c r="A16" s="7"/>
      <c r="B16" s="17" t="s">
        <v>9</v>
      </c>
      <c r="C16" s="17"/>
      <c r="D16" s="17"/>
      <c r="E16" s="18"/>
      <c r="F16" s="18"/>
      <c r="G16" s="18"/>
      <c r="H16" s="18"/>
      <c r="I16" s="18"/>
      <c r="J16" s="18"/>
      <c r="K16" s="18"/>
      <c r="L16" s="18"/>
      <c r="M16" s="20" t="s">
        <v>218</v>
      </c>
      <c r="N16" s="9"/>
      <c r="O16" s="6"/>
    </row>
    <row r="17" spans="1:15" ht="15.75">
      <c r="A17" s="7"/>
      <c r="B17" s="17" t="s">
        <v>10</v>
      </c>
      <c r="C17" s="17"/>
      <c r="D17" s="17"/>
      <c r="E17" s="18"/>
      <c r="F17" s="18"/>
      <c r="G17" s="18"/>
      <c r="H17" s="18"/>
      <c r="I17" s="18"/>
      <c r="J17" s="18"/>
      <c r="K17" s="18"/>
      <c r="L17" s="18"/>
      <c r="M17" s="22">
        <v>37034</v>
      </c>
      <c r="N17" s="9"/>
      <c r="O17" s="6"/>
    </row>
    <row r="18" spans="1:15" ht="15.75">
      <c r="A18" s="7"/>
      <c r="B18" s="9"/>
      <c r="C18" s="9"/>
      <c r="D18" s="9"/>
      <c r="E18" s="9"/>
      <c r="F18" s="9"/>
      <c r="G18" s="9"/>
      <c r="H18" s="9"/>
      <c r="I18" s="9"/>
      <c r="J18" s="9"/>
      <c r="K18" s="9"/>
      <c r="L18" s="9"/>
      <c r="M18" s="23"/>
      <c r="N18" s="9"/>
      <c r="O18" s="6"/>
    </row>
    <row r="19" spans="1:15" ht="15.75">
      <c r="A19" s="7"/>
      <c r="B19" s="24" t="s">
        <v>11</v>
      </c>
      <c r="C19" s="9"/>
      <c r="D19" s="9"/>
      <c r="E19" s="9"/>
      <c r="F19" s="9"/>
      <c r="G19" s="9"/>
      <c r="H19" s="9"/>
      <c r="I19" s="9"/>
      <c r="J19" s="9"/>
      <c r="K19" s="23"/>
      <c r="L19" s="9"/>
      <c r="M19" s="14"/>
      <c r="N19" s="9"/>
      <c r="O19" s="6"/>
    </row>
    <row r="20" spans="1:15" ht="15.75">
      <c r="A20" s="7"/>
      <c r="B20" s="9"/>
      <c r="C20" s="9"/>
      <c r="D20" s="9"/>
      <c r="E20" s="9"/>
      <c r="F20" s="9"/>
      <c r="G20" s="9"/>
      <c r="H20" s="9"/>
      <c r="I20" s="9"/>
      <c r="J20" s="9"/>
      <c r="K20" s="9"/>
      <c r="L20" s="9"/>
      <c r="M20" s="25"/>
      <c r="N20" s="9"/>
      <c r="O20" s="6"/>
    </row>
    <row r="21" spans="1:15" ht="31.5">
      <c r="A21" s="7"/>
      <c r="B21" s="9"/>
      <c r="C21" s="145" t="s">
        <v>165</v>
      </c>
      <c r="D21" s="168" t="s">
        <v>168</v>
      </c>
      <c r="E21" s="168" t="s">
        <v>179</v>
      </c>
      <c r="F21" s="168"/>
      <c r="G21" s="168" t="s">
        <v>185</v>
      </c>
      <c r="H21" s="168"/>
      <c r="I21" s="168" t="s">
        <v>198</v>
      </c>
      <c r="J21" s="168"/>
      <c r="K21" s="27"/>
      <c r="L21" s="14"/>
      <c r="M21" s="14"/>
      <c r="N21" s="9"/>
      <c r="O21" s="6"/>
    </row>
    <row r="22" spans="1:15" ht="15.75">
      <c r="A22" s="28"/>
      <c r="B22" s="29" t="s">
        <v>12</v>
      </c>
      <c r="C22" s="146" t="s">
        <v>166</v>
      </c>
      <c r="D22" s="30" t="s">
        <v>169</v>
      </c>
      <c r="E22" s="30"/>
      <c r="F22" s="30"/>
      <c r="G22" s="30" t="s">
        <v>186</v>
      </c>
      <c r="H22" s="30"/>
      <c r="I22" s="30" t="s">
        <v>199</v>
      </c>
      <c r="J22" s="30"/>
      <c r="K22" s="30"/>
      <c r="L22" s="31"/>
      <c r="M22" s="31"/>
      <c r="N22" s="29"/>
      <c r="O22" s="6"/>
    </row>
    <row r="23" spans="1:15" ht="15.75">
      <c r="A23" s="28"/>
      <c r="B23" s="29" t="s">
        <v>13</v>
      </c>
      <c r="C23" s="32"/>
      <c r="D23" s="33" t="s">
        <v>170</v>
      </c>
      <c r="E23" s="34"/>
      <c r="F23" s="33"/>
      <c r="G23" s="33" t="s">
        <v>187</v>
      </c>
      <c r="H23" s="33"/>
      <c r="I23" s="33" t="s">
        <v>200</v>
      </c>
      <c r="J23" s="35"/>
      <c r="K23" s="35"/>
      <c r="L23" s="36"/>
      <c r="M23" s="31"/>
      <c r="N23" s="29"/>
      <c r="O23" s="6"/>
    </row>
    <row r="24" spans="1:15" ht="15.75">
      <c r="A24" s="28"/>
      <c r="B24" s="32" t="s">
        <v>14</v>
      </c>
      <c r="C24" s="32"/>
      <c r="D24" s="35" t="s">
        <v>169</v>
      </c>
      <c r="E24" s="35"/>
      <c r="F24" s="35"/>
      <c r="G24" s="35" t="s">
        <v>186</v>
      </c>
      <c r="H24" s="35"/>
      <c r="I24" s="35" t="s">
        <v>199</v>
      </c>
      <c r="J24" s="35"/>
      <c r="K24" s="35"/>
      <c r="L24" s="36"/>
      <c r="M24" s="31"/>
      <c r="N24" s="29"/>
      <c r="O24" s="6"/>
    </row>
    <row r="25" spans="1:15" ht="15.75">
      <c r="A25" s="28"/>
      <c r="B25" s="32" t="s">
        <v>15</v>
      </c>
      <c r="C25" s="32"/>
      <c r="D25" s="35" t="s">
        <v>170</v>
      </c>
      <c r="E25" s="35"/>
      <c r="F25" s="35"/>
      <c r="G25" s="35" t="s">
        <v>187</v>
      </c>
      <c r="H25" s="35"/>
      <c r="I25" s="35" t="s">
        <v>200</v>
      </c>
      <c r="J25" s="35"/>
      <c r="K25" s="35"/>
      <c r="L25" s="36"/>
      <c r="M25" s="31"/>
      <c r="N25" s="29"/>
      <c r="O25" s="6"/>
    </row>
    <row r="26" spans="1:15" ht="15.75">
      <c r="A26" s="28"/>
      <c r="B26" s="29" t="s">
        <v>16</v>
      </c>
      <c r="C26" s="29"/>
      <c r="D26" s="37" t="s">
        <v>171</v>
      </c>
      <c r="E26" s="37"/>
      <c r="F26" s="30"/>
      <c r="G26" s="37" t="s">
        <v>188</v>
      </c>
      <c r="H26" s="30"/>
      <c r="I26" s="37" t="s">
        <v>201</v>
      </c>
      <c r="J26" s="30"/>
      <c r="K26" s="37"/>
      <c r="L26" s="31"/>
      <c r="M26" s="31"/>
      <c r="N26" s="29"/>
      <c r="O26" s="6"/>
    </row>
    <row r="27" spans="1:15" ht="15.75">
      <c r="A27" s="28"/>
      <c r="B27" s="29"/>
      <c r="C27" s="29"/>
      <c r="D27" s="29"/>
      <c r="E27" s="29"/>
      <c r="F27" s="30"/>
      <c r="G27" s="30"/>
      <c r="H27" s="30"/>
      <c r="I27" s="30"/>
      <c r="J27" s="30"/>
      <c r="K27" s="30"/>
      <c r="L27" s="31"/>
      <c r="M27" s="31"/>
      <c r="N27" s="29"/>
      <c r="O27" s="6"/>
    </row>
    <row r="28" spans="1:15" ht="15.75">
      <c r="A28" s="28"/>
      <c r="B28" s="29" t="s">
        <v>17</v>
      </c>
      <c r="C28" s="29"/>
      <c r="D28" s="38" t="s">
        <v>172</v>
      </c>
      <c r="E28" s="38">
        <v>168668</v>
      </c>
      <c r="F28" s="39"/>
      <c r="G28" s="38">
        <v>16580</v>
      </c>
      <c r="H28" s="38"/>
      <c r="I28" s="38">
        <v>9750</v>
      </c>
      <c r="J28" s="38"/>
      <c r="K28" s="38"/>
      <c r="L28" s="39" t="s">
        <v>172</v>
      </c>
      <c r="M28" s="38">
        <f>K28+I28+G28+E28</f>
        <v>194998</v>
      </c>
      <c r="N28" s="40"/>
      <c r="O28" s="6"/>
    </row>
    <row r="29" spans="1:15" ht="15.75">
      <c r="A29" s="28"/>
      <c r="B29" s="29" t="s">
        <v>18</v>
      </c>
      <c r="C29" s="41">
        <f>M28/M29</f>
        <v>1</v>
      </c>
      <c r="D29" s="38" t="s">
        <v>173</v>
      </c>
      <c r="E29" s="38">
        <v>168668</v>
      </c>
      <c r="F29" s="39"/>
      <c r="G29" s="38">
        <v>16580</v>
      </c>
      <c r="H29" s="38"/>
      <c r="I29" s="38">
        <v>9750</v>
      </c>
      <c r="J29" s="42"/>
      <c r="K29" s="38"/>
      <c r="L29" s="39" t="s">
        <v>172</v>
      </c>
      <c r="M29" s="38">
        <f>K29+I29+G29+E29</f>
        <v>194998</v>
      </c>
      <c r="N29" s="40"/>
      <c r="O29" s="6"/>
    </row>
    <row r="30" spans="1:15" ht="15.75">
      <c r="A30" s="43"/>
      <c r="B30" s="32" t="s">
        <v>19</v>
      </c>
      <c r="C30" s="44">
        <f>M29/M30</f>
        <v>1</v>
      </c>
      <c r="D30" s="45" t="s">
        <v>172</v>
      </c>
      <c r="E30" s="45">
        <v>168668</v>
      </c>
      <c r="F30" s="46"/>
      <c r="G30" s="45">
        <v>16580</v>
      </c>
      <c r="H30" s="45"/>
      <c r="I30" s="45">
        <v>9750</v>
      </c>
      <c r="J30" s="45"/>
      <c r="K30" s="45"/>
      <c r="L30" s="46" t="s">
        <v>172</v>
      </c>
      <c r="M30" s="45">
        <f>K30+I30+G30+E30</f>
        <v>194998</v>
      </c>
      <c r="N30" s="29"/>
      <c r="O30" s="6"/>
    </row>
    <row r="31" spans="1:15" ht="15.75">
      <c r="A31" s="28"/>
      <c r="B31" s="29" t="s">
        <v>20</v>
      </c>
      <c r="C31" s="47"/>
      <c r="D31" s="37" t="s">
        <v>174</v>
      </c>
      <c r="E31" s="37"/>
      <c r="F31" s="29"/>
      <c r="G31" s="37" t="s">
        <v>189</v>
      </c>
      <c r="H31" s="37"/>
      <c r="I31" s="37" t="s">
        <v>202</v>
      </c>
      <c r="J31" s="37"/>
      <c r="K31" s="37"/>
      <c r="L31" s="31"/>
      <c r="M31" s="31"/>
      <c r="N31" s="29"/>
      <c r="O31" s="6"/>
    </row>
    <row r="32" spans="1:15" ht="15.75">
      <c r="A32" s="28"/>
      <c r="B32" s="29" t="s">
        <v>21</v>
      </c>
      <c r="C32" s="47"/>
      <c r="D32" s="48" t="s">
        <v>175</v>
      </c>
      <c r="E32" s="49">
        <v>0.0614375</v>
      </c>
      <c r="F32" s="50"/>
      <c r="G32" s="48">
        <v>0.0656875</v>
      </c>
      <c r="H32" s="48"/>
      <c r="I32" s="48">
        <v>0.0756875</v>
      </c>
      <c r="J32" s="51"/>
      <c r="K32" s="48"/>
      <c r="L32" s="31"/>
      <c r="M32" s="51">
        <f>SUMPRODUCT(E32:K32,E30:K30)/M30</f>
        <v>0.06251136998841013</v>
      </c>
      <c r="N32" s="29"/>
      <c r="O32" s="6"/>
    </row>
    <row r="33" spans="1:15" ht="15.75">
      <c r="A33" s="28"/>
      <c r="B33" s="29" t="s">
        <v>22</v>
      </c>
      <c r="C33" s="47"/>
      <c r="D33" s="48">
        <v>0.05073</v>
      </c>
      <c r="E33" s="48"/>
      <c r="F33" s="50"/>
      <c r="G33" s="48" t="s">
        <v>175</v>
      </c>
      <c r="H33" s="48"/>
      <c r="I33" s="48" t="s">
        <v>175</v>
      </c>
      <c r="J33" s="51"/>
      <c r="K33" s="48"/>
      <c r="L33" s="31"/>
      <c r="M33" s="51"/>
      <c r="N33" s="29"/>
      <c r="O33" s="6"/>
    </row>
    <row r="34" spans="1:15" ht="15.75">
      <c r="A34" s="28"/>
      <c r="B34" s="29" t="s">
        <v>23</v>
      </c>
      <c r="C34" s="47"/>
      <c r="D34" s="48" t="s">
        <v>175</v>
      </c>
      <c r="E34" s="48"/>
      <c r="F34" s="48"/>
      <c r="G34" s="48">
        <v>0.0685871</v>
      </c>
      <c r="H34" s="48"/>
      <c r="I34" s="48">
        <v>0.0785871</v>
      </c>
      <c r="J34" s="51"/>
      <c r="K34" s="48"/>
      <c r="L34" s="31"/>
      <c r="M34" s="31"/>
      <c r="N34" s="29"/>
      <c r="O34" s="6"/>
    </row>
    <row r="35" spans="1:15" ht="15.75">
      <c r="A35" s="28"/>
      <c r="B35" s="29" t="s">
        <v>24</v>
      </c>
      <c r="C35" s="47"/>
      <c r="D35" s="48">
        <v>0.0540561</v>
      </c>
      <c r="E35" s="48"/>
      <c r="F35" s="50"/>
      <c r="G35" s="48" t="s">
        <v>175</v>
      </c>
      <c r="H35" s="48"/>
      <c r="I35" s="48" t="s">
        <v>175</v>
      </c>
      <c r="J35" s="51"/>
      <c r="K35" s="48"/>
      <c r="L35" s="31"/>
      <c r="M35" s="31"/>
      <c r="N35" s="29"/>
      <c r="O35" s="6"/>
    </row>
    <row r="36" spans="1:15" ht="15.75">
      <c r="A36" s="28"/>
      <c r="B36" s="29" t="s">
        <v>25</v>
      </c>
      <c r="C36" s="47"/>
      <c r="D36" s="37" t="s">
        <v>176</v>
      </c>
      <c r="E36" s="37"/>
      <c r="F36" s="29"/>
      <c r="G36" s="37" t="s">
        <v>176</v>
      </c>
      <c r="H36" s="37"/>
      <c r="I36" s="37" t="s">
        <v>176</v>
      </c>
      <c r="J36" s="37"/>
      <c r="K36" s="37"/>
      <c r="L36" s="31"/>
      <c r="M36" s="31"/>
      <c r="N36" s="29"/>
      <c r="O36" s="6"/>
    </row>
    <row r="37" spans="1:15" ht="15.75">
      <c r="A37" s="28"/>
      <c r="B37" s="29" t="s">
        <v>26</v>
      </c>
      <c r="C37" s="29"/>
      <c r="D37" s="52">
        <v>39036</v>
      </c>
      <c r="E37" s="52"/>
      <c r="F37" s="29"/>
      <c r="G37" s="52">
        <v>39036</v>
      </c>
      <c r="H37" s="52"/>
      <c r="I37" s="52">
        <v>39036</v>
      </c>
      <c r="J37" s="37"/>
      <c r="K37" s="37"/>
      <c r="L37" s="31"/>
      <c r="M37" s="31"/>
      <c r="N37" s="29"/>
      <c r="O37" s="6"/>
    </row>
    <row r="38" spans="1:15" ht="15.75">
      <c r="A38" s="28"/>
      <c r="B38" s="29" t="s">
        <v>27</v>
      </c>
      <c r="C38" s="29"/>
      <c r="D38" s="37" t="s">
        <v>177</v>
      </c>
      <c r="E38" s="37"/>
      <c r="F38" s="29"/>
      <c r="G38" s="37" t="s">
        <v>190</v>
      </c>
      <c r="H38" s="37"/>
      <c r="I38" s="37" t="s">
        <v>203</v>
      </c>
      <c r="J38" s="37"/>
      <c r="K38" s="37"/>
      <c r="L38" s="31"/>
      <c r="M38" s="31"/>
      <c r="N38" s="29"/>
      <c r="O38" s="6"/>
    </row>
    <row r="39" spans="1:15" ht="15.75">
      <c r="A39" s="28"/>
      <c r="B39" s="29"/>
      <c r="C39" s="29"/>
      <c r="D39" s="29"/>
      <c r="E39" s="53"/>
      <c r="F39" s="53"/>
      <c r="G39" s="29"/>
      <c r="H39" s="53"/>
      <c r="I39" s="53"/>
      <c r="J39" s="53"/>
      <c r="K39" s="53"/>
      <c r="L39" s="53"/>
      <c r="M39" s="53"/>
      <c r="N39" s="29"/>
      <c r="O39" s="6"/>
    </row>
    <row r="40" spans="1:15" ht="15.75">
      <c r="A40" s="28"/>
      <c r="B40" s="29" t="s">
        <v>28</v>
      </c>
      <c r="C40" s="29"/>
      <c r="D40" s="29"/>
      <c r="E40" s="29"/>
      <c r="F40" s="29"/>
      <c r="G40" s="29"/>
      <c r="H40" s="29"/>
      <c r="I40" s="29"/>
      <c r="J40" s="29"/>
      <c r="K40" s="29"/>
      <c r="L40" s="29"/>
      <c r="M40" s="51">
        <f>(I28+G28)/(E28)</f>
        <v>0.15610548533213175</v>
      </c>
      <c r="N40" s="29"/>
      <c r="O40" s="6"/>
    </row>
    <row r="41" spans="1:15" ht="15.75">
      <c r="A41" s="28"/>
      <c r="B41" s="29" t="s">
        <v>29</v>
      </c>
      <c r="C41" s="29"/>
      <c r="D41" s="29"/>
      <c r="E41" s="29"/>
      <c r="F41" s="29"/>
      <c r="G41" s="29"/>
      <c r="H41" s="29"/>
      <c r="I41" s="29"/>
      <c r="J41" s="29"/>
      <c r="K41" s="29"/>
      <c r="L41" s="29"/>
      <c r="M41" s="51">
        <f>(I30+G30)/(E30)</f>
        <v>0.15610548533213175</v>
      </c>
      <c r="N41" s="29"/>
      <c r="O41" s="6"/>
    </row>
    <row r="42" spans="1:15" ht="15.75">
      <c r="A42" s="28"/>
      <c r="B42" s="29" t="s">
        <v>30</v>
      </c>
      <c r="C42" s="29"/>
      <c r="D42" s="29"/>
      <c r="E42" s="29"/>
      <c r="F42" s="29"/>
      <c r="G42" s="29"/>
      <c r="H42" s="29"/>
      <c r="I42" s="29"/>
      <c r="J42" s="29"/>
      <c r="K42" s="37" t="s">
        <v>168</v>
      </c>
      <c r="L42" s="37" t="s">
        <v>216</v>
      </c>
      <c r="M42" s="38">
        <v>60336</v>
      </c>
      <c r="N42" s="29"/>
      <c r="O42" s="6"/>
    </row>
    <row r="43" spans="1:15" ht="15.75">
      <c r="A43" s="28"/>
      <c r="B43" s="29"/>
      <c r="C43" s="29"/>
      <c r="D43" s="29"/>
      <c r="E43" s="29"/>
      <c r="F43" s="29"/>
      <c r="G43" s="29"/>
      <c r="H43" s="29"/>
      <c r="I43" s="29"/>
      <c r="J43" s="29"/>
      <c r="K43" s="29"/>
      <c r="L43" s="29"/>
      <c r="M43" s="54"/>
      <c r="N43" s="29"/>
      <c r="O43" s="6"/>
    </row>
    <row r="44" spans="1:15" ht="15.75">
      <c r="A44" s="28"/>
      <c r="B44" s="29" t="s">
        <v>31</v>
      </c>
      <c r="C44" s="29"/>
      <c r="D44" s="29"/>
      <c r="E44" s="29"/>
      <c r="F44" s="29"/>
      <c r="G44" s="29"/>
      <c r="H44" s="29"/>
      <c r="I44" s="29"/>
      <c r="J44" s="29"/>
      <c r="K44" s="37"/>
      <c r="L44" s="37"/>
      <c r="M44" s="37" t="s">
        <v>219</v>
      </c>
      <c r="N44" s="29"/>
      <c r="O44" s="6"/>
    </row>
    <row r="45" spans="1:15" ht="15.75">
      <c r="A45" s="43"/>
      <c r="B45" s="32" t="s">
        <v>32</v>
      </c>
      <c r="C45" s="32"/>
      <c r="D45" s="32"/>
      <c r="E45" s="32"/>
      <c r="F45" s="32"/>
      <c r="G45" s="32"/>
      <c r="H45" s="32"/>
      <c r="I45" s="32"/>
      <c r="J45" s="32"/>
      <c r="K45" s="55"/>
      <c r="L45" s="55"/>
      <c r="M45" s="56">
        <v>37026</v>
      </c>
      <c r="N45" s="32"/>
      <c r="O45" s="6"/>
    </row>
    <row r="46" spans="1:15" ht="15.75">
      <c r="A46" s="28"/>
      <c r="B46" s="29" t="s">
        <v>33</v>
      </c>
      <c r="C46" s="29"/>
      <c r="D46" s="29"/>
      <c r="E46" s="29"/>
      <c r="F46" s="29"/>
      <c r="G46" s="29"/>
      <c r="H46" s="29"/>
      <c r="I46" s="31"/>
      <c r="J46" s="29">
        <f>M46-K46+1</f>
        <v>84</v>
      </c>
      <c r="K46" s="58">
        <v>36853</v>
      </c>
      <c r="L46" s="59"/>
      <c r="M46" s="58">
        <v>36936</v>
      </c>
      <c r="N46" s="29"/>
      <c r="O46" s="6"/>
    </row>
    <row r="47" spans="1:15" ht="15.75">
      <c r="A47" s="28"/>
      <c r="B47" s="29" t="s">
        <v>34</v>
      </c>
      <c r="C47" s="29"/>
      <c r="D47" s="29"/>
      <c r="E47" s="29"/>
      <c r="F47" s="29"/>
      <c r="G47" s="29"/>
      <c r="H47" s="29"/>
      <c r="I47" s="31"/>
      <c r="J47" s="29">
        <f>M47-K47+1</f>
        <v>89</v>
      </c>
      <c r="K47" s="58">
        <v>36937</v>
      </c>
      <c r="L47" s="59"/>
      <c r="M47" s="58">
        <v>37025</v>
      </c>
      <c r="N47" s="29"/>
      <c r="O47" s="6"/>
    </row>
    <row r="48" spans="1:15" ht="15.75">
      <c r="A48" s="28"/>
      <c r="B48" s="29" t="s">
        <v>35</v>
      </c>
      <c r="C48" s="29"/>
      <c r="D48" s="29"/>
      <c r="E48" s="29"/>
      <c r="F48" s="29"/>
      <c r="G48" s="29"/>
      <c r="H48" s="29"/>
      <c r="I48" s="29"/>
      <c r="J48" s="29"/>
      <c r="K48" s="58"/>
      <c r="L48" s="59"/>
      <c r="M48" s="58" t="s">
        <v>220</v>
      </c>
      <c r="N48" s="29"/>
      <c r="O48" s="6"/>
    </row>
    <row r="49" spans="1:15" ht="15.75">
      <c r="A49" s="28"/>
      <c r="B49" s="29" t="s">
        <v>36</v>
      </c>
      <c r="C49" s="29"/>
      <c r="D49" s="29"/>
      <c r="E49" s="29"/>
      <c r="F49" s="29"/>
      <c r="G49" s="29"/>
      <c r="H49" s="29"/>
      <c r="I49" s="29"/>
      <c r="J49" s="29"/>
      <c r="K49" s="58"/>
      <c r="L49" s="59"/>
      <c r="M49" s="58" t="s">
        <v>221</v>
      </c>
      <c r="N49" s="29"/>
      <c r="O49" s="6"/>
    </row>
    <row r="50" spans="1:15" ht="15.75">
      <c r="A50" s="28"/>
      <c r="B50" s="29" t="s">
        <v>37</v>
      </c>
      <c r="C50" s="29"/>
      <c r="D50" s="29"/>
      <c r="E50" s="29"/>
      <c r="F50" s="29"/>
      <c r="G50" s="29"/>
      <c r="H50" s="29"/>
      <c r="I50" s="29"/>
      <c r="J50" s="29"/>
      <c r="K50" s="58"/>
      <c r="L50" s="59"/>
      <c r="M50" s="58">
        <v>37015</v>
      </c>
      <c r="N50" s="29"/>
      <c r="O50" s="6"/>
    </row>
    <row r="51" spans="1:15" ht="15.75">
      <c r="A51" s="28"/>
      <c r="B51" s="29"/>
      <c r="C51" s="29"/>
      <c r="D51" s="29"/>
      <c r="E51" s="29"/>
      <c r="F51" s="29"/>
      <c r="G51" s="29"/>
      <c r="H51" s="29"/>
      <c r="I51" s="29"/>
      <c r="J51" s="29"/>
      <c r="K51" s="29"/>
      <c r="L51" s="29"/>
      <c r="M51" s="60"/>
      <c r="N51" s="29"/>
      <c r="O51" s="6"/>
    </row>
    <row r="52" spans="1:15" ht="15.75">
      <c r="A52" s="7"/>
      <c r="B52" s="9"/>
      <c r="C52" s="9"/>
      <c r="D52" s="9"/>
      <c r="E52" s="9"/>
      <c r="F52" s="9"/>
      <c r="G52" s="9"/>
      <c r="H52" s="9"/>
      <c r="I52" s="9"/>
      <c r="J52" s="9"/>
      <c r="K52" s="9"/>
      <c r="L52" s="9"/>
      <c r="M52" s="61"/>
      <c r="N52" s="9"/>
      <c r="O52" s="6"/>
    </row>
    <row r="53" spans="1:15" ht="16.5" thickBot="1">
      <c r="A53" s="134"/>
      <c r="B53" s="135" t="s">
        <v>226</v>
      </c>
      <c r="C53" s="136"/>
      <c r="D53" s="136"/>
      <c r="E53" s="136"/>
      <c r="F53" s="136"/>
      <c r="G53" s="136"/>
      <c r="H53" s="136"/>
      <c r="I53" s="136"/>
      <c r="J53" s="136"/>
      <c r="K53" s="136"/>
      <c r="L53" s="136"/>
      <c r="M53" s="137"/>
      <c r="N53" s="138"/>
      <c r="O53" s="6"/>
    </row>
    <row r="54" spans="1:15" ht="15.75">
      <c r="A54" s="2"/>
      <c r="B54" s="5"/>
      <c r="C54" s="5"/>
      <c r="D54" s="5"/>
      <c r="E54" s="5"/>
      <c r="F54" s="5"/>
      <c r="G54" s="5"/>
      <c r="H54" s="5"/>
      <c r="I54" s="5"/>
      <c r="J54" s="5"/>
      <c r="K54" s="5"/>
      <c r="L54" s="5"/>
      <c r="M54" s="62"/>
      <c r="N54" s="5"/>
      <c r="O54" s="6"/>
    </row>
    <row r="55" spans="1:15" ht="15.75">
      <c r="A55" s="7"/>
      <c r="B55" s="63" t="s">
        <v>39</v>
      </c>
      <c r="C55" s="15"/>
      <c r="D55" s="15"/>
      <c r="E55" s="9"/>
      <c r="F55" s="9"/>
      <c r="G55" s="9"/>
      <c r="H55" s="9"/>
      <c r="I55" s="9"/>
      <c r="J55" s="9"/>
      <c r="K55" s="9"/>
      <c r="L55" s="9"/>
      <c r="M55" s="64"/>
      <c r="N55" s="9"/>
      <c r="O55" s="6"/>
    </row>
    <row r="56" spans="1:15" ht="15.75">
      <c r="A56" s="7"/>
      <c r="B56" s="15"/>
      <c r="C56" s="15"/>
      <c r="D56" s="15"/>
      <c r="E56" s="9"/>
      <c r="F56" s="9"/>
      <c r="G56" s="9"/>
      <c r="H56" s="9"/>
      <c r="I56" s="9"/>
      <c r="J56" s="9"/>
      <c r="K56" s="9"/>
      <c r="L56" s="9"/>
      <c r="M56" s="64"/>
      <c r="N56" s="9"/>
      <c r="O56" s="6"/>
    </row>
    <row r="57" spans="1:15" s="156" customFormat="1" ht="47.25">
      <c r="A57" s="150"/>
      <c r="B57" s="151" t="s">
        <v>40</v>
      </c>
      <c r="C57" s="152" t="s">
        <v>167</v>
      </c>
      <c r="D57" s="152"/>
      <c r="E57" s="152" t="s">
        <v>180</v>
      </c>
      <c r="F57" s="152"/>
      <c r="G57" s="152" t="s">
        <v>191</v>
      </c>
      <c r="H57" s="152"/>
      <c r="I57" s="152" t="s">
        <v>204</v>
      </c>
      <c r="J57" s="152"/>
      <c r="K57" s="152" t="s">
        <v>209</v>
      </c>
      <c r="L57" s="152"/>
      <c r="M57" s="153" t="s">
        <v>222</v>
      </c>
      <c r="N57" s="154"/>
      <c r="O57" s="155"/>
    </row>
    <row r="58" spans="1:15" ht="15.75">
      <c r="A58" s="28"/>
      <c r="B58" s="29" t="s">
        <v>41</v>
      </c>
      <c r="C58" s="65">
        <v>73021</v>
      </c>
      <c r="D58" s="65"/>
      <c r="E58" s="65">
        <v>69037</v>
      </c>
      <c r="F58" s="65"/>
      <c r="G58" s="65">
        <f>7116+7</f>
        <v>7123</v>
      </c>
      <c r="H58" s="65"/>
      <c r="I58" s="65">
        <v>22692</v>
      </c>
      <c r="J58" s="65"/>
      <c r="K58" s="65">
        <v>0</v>
      </c>
      <c r="L58" s="65"/>
      <c r="M58" s="66">
        <f>E58-G58+I58-K58</f>
        <v>84606</v>
      </c>
      <c r="N58" s="29"/>
      <c r="O58" s="6"/>
    </row>
    <row r="59" spans="1:15" ht="15.75">
      <c r="A59" s="28"/>
      <c r="B59" s="29" t="s">
        <v>42</v>
      </c>
      <c r="C59" s="65">
        <v>506</v>
      </c>
      <c r="D59" s="65"/>
      <c r="E59" s="65">
        <v>0</v>
      </c>
      <c r="F59" s="65"/>
      <c r="G59" s="65">
        <v>122</v>
      </c>
      <c r="H59" s="65"/>
      <c r="I59" s="65">
        <v>122</v>
      </c>
      <c r="J59" s="65"/>
      <c r="K59" s="65">
        <v>0</v>
      </c>
      <c r="L59" s="65"/>
      <c r="M59" s="66">
        <f>E59-G59+I59-K59</f>
        <v>0</v>
      </c>
      <c r="N59" s="29"/>
      <c r="O59" s="6"/>
    </row>
    <row r="60" spans="1:15" ht="15.75">
      <c r="A60" s="28"/>
      <c r="B60" s="29"/>
      <c r="C60" s="65"/>
      <c r="D60" s="65"/>
      <c r="E60" s="65"/>
      <c r="F60" s="65"/>
      <c r="G60" s="65"/>
      <c r="H60" s="65"/>
      <c r="I60" s="65"/>
      <c r="J60" s="65"/>
      <c r="K60" s="65"/>
      <c r="L60" s="65"/>
      <c r="M60" s="66"/>
      <c r="N60" s="29"/>
      <c r="O60" s="6"/>
    </row>
    <row r="61" spans="1:15" ht="15.75">
      <c r="A61" s="28"/>
      <c r="B61" s="29" t="s">
        <v>43</v>
      </c>
      <c r="C61" s="65">
        <f>SUM(C58:C60)</f>
        <v>73527</v>
      </c>
      <c r="D61" s="65"/>
      <c r="E61" s="65">
        <f>SUM(E58:E60)</f>
        <v>69037</v>
      </c>
      <c r="F61" s="65"/>
      <c r="G61" s="65">
        <f>SUM(G58:G60)</f>
        <v>7245</v>
      </c>
      <c r="H61" s="65"/>
      <c r="I61" s="65">
        <f>SUM(I58:I60)</f>
        <v>22814</v>
      </c>
      <c r="J61" s="65"/>
      <c r="K61" s="65">
        <f>SUM(K58:K60)</f>
        <v>0</v>
      </c>
      <c r="L61" s="65"/>
      <c r="M61" s="67">
        <f>SUM(M58:M60)</f>
        <v>84606</v>
      </c>
      <c r="N61" s="29"/>
      <c r="O61" s="6"/>
    </row>
    <row r="62" spans="1:15" ht="15.75">
      <c r="A62" s="28"/>
      <c r="B62" s="29"/>
      <c r="C62" s="65"/>
      <c r="D62" s="65"/>
      <c r="E62" s="65"/>
      <c r="F62" s="65"/>
      <c r="G62" s="65"/>
      <c r="H62" s="65"/>
      <c r="I62" s="65"/>
      <c r="J62" s="65"/>
      <c r="K62" s="65"/>
      <c r="L62" s="65"/>
      <c r="M62" s="67"/>
      <c r="N62" s="29"/>
      <c r="O62" s="6"/>
    </row>
    <row r="63" spans="1:15" ht="15.75">
      <c r="A63" s="7"/>
      <c r="B63" s="144" t="s">
        <v>44</v>
      </c>
      <c r="C63" s="68"/>
      <c r="D63" s="68"/>
      <c r="E63" s="68"/>
      <c r="F63" s="68"/>
      <c r="G63" s="69"/>
      <c r="H63" s="68"/>
      <c r="I63" s="68"/>
      <c r="J63" s="68"/>
      <c r="K63" s="68"/>
      <c r="L63" s="68"/>
      <c r="M63" s="70"/>
      <c r="N63" s="9"/>
      <c r="O63" s="6"/>
    </row>
    <row r="64" spans="1:15" ht="15.75">
      <c r="A64" s="7"/>
      <c r="B64" s="9"/>
      <c r="C64" s="68"/>
      <c r="D64" s="68"/>
      <c r="E64" s="68"/>
      <c r="F64" s="68"/>
      <c r="G64" s="68"/>
      <c r="H64" s="68"/>
      <c r="I64" s="68"/>
      <c r="J64" s="68"/>
      <c r="K64" s="68"/>
      <c r="L64" s="68"/>
      <c r="M64" s="70"/>
      <c r="N64" s="9"/>
      <c r="O64" s="6"/>
    </row>
    <row r="65" spans="1:15" ht="15.75">
      <c r="A65" s="28"/>
      <c r="B65" s="29" t="s">
        <v>41</v>
      </c>
      <c r="C65" s="65">
        <v>79997</v>
      </c>
      <c r="D65" s="65"/>
      <c r="E65" s="66">
        <v>74272</v>
      </c>
      <c r="F65" s="65"/>
      <c r="G65" s="65">
        <f>9248+267</f>
        <v>9515</v>
      </c>
      <c r="H65" s="65"/>
      <c r="I65" s="65">
        <v>26939</v>
      </c>
      <c r="J65" s="65"/>
      <c r="K65" s="65"/>
      <c r="L65" s="65"/>
      <c r="M65" s="66">
        <f>E65-G65+I65-K65</f>
        <v>91696</v>
      </c>
      <c r="N65" s="29"/>
      <c r="O65" s="6"/>
    </row>
    <row r="66" spans="1:15" ht="15.75">
      <c r="A66" s="28"/>
      <c r="B66" s="29" t="s">
        <v>42</v>
      </c>
      <c r="C66" s="65">
        <v>611</v>
      </c>
      <c r="D66" s="65"/>
      <c r="E66" s="66">
        <v>0</v>
      </c>
      <c r="F66" s="65"/>
      <c r="G66" s="65">
        <v>190</v>
      </c>
      <c r="H66" s="65"/>
      <c r="I66" s="65">
        <v>190</v>
      </c>
      <c r="J66" s="65"/>
      <c r="K66" s="65"/>
      <c r="L66" s="65"/>
      <c r="M66" s="66">
        <f>E66-G66+I66-K66</f>
        <v>0</v>
      </c>
      <c r="N66" s="29"/>
      <c r="O66" s="6"/>
    </row>
    <row r="67" spans="1:15" ht="15.75">
      <c r="A67" s="28"/>
      <c r="B67" s="65"/>
      <c r="C67" s="65"/>
      <c r="D67" s="65"/>
      <c r="E67" s="66"/>
      <c r="F67" s="65"/>
      <c r="G67" s="65"/>
      <c r="H67" s="65"/>
      <c r="I67" s="65"/>
      <c r="J67" s="65"/>
      <c r="K67" s="65"/>
      <c r="L67" s="65"/>
      <c r="M67" s="66"/>
      <c r="N67" s="29"/>
      <c r="O67" s="6"/>
    </row>
    <row r="68" spans="1:15" ht="15.75">
      <c r="A68" s="28"/>
      <c r="B68" s="29" t="s">
        <v>43</v>
      </c>
      <c r="C68" s="65">
        <f>SUM(C65:C67)</f>
        <v>80608</v>
      </c>
      <c r="D68" s="65"/>
      <c r="E68" s="65">
        <v>74272</v>
      </c>
      <c r="F68" s="65"/>
      <c r="G68" s="65">
        <f>SUM(G65:G67)</f>
        <v>9705</v>
      </c>
      <c r="H68" s="65"/>
      <c r="I68" s="65">
        <f>SUM(I65:I67)</f>
        <v>27129</v>
      </c>
      <c r="J68" s="65"/>
      <c r="K68" s="65">
        <f>SUM(K65:K67)</f>
        <v>0</v>
      </c>
      <c r="L68" s="65"/>
      <c r="M68" s="65">
        <f>SUM(M65:M67)</f>
        <v>91696</v>
      </c>
      <c r="N68" s="29"/>
      <c r="O68" s="6"/>
    </row>
    <row r="69" spans="1:15" ht="15.75">
      <c r="A69" s="28"/>
      <c r="B69" s="29"/>
      <c r="C69" s="65"/>
      <c r="D69" s="65"/>
      <c r="E69" s="67"/>
      <c r="F69" s="65"/>
      <c r="G69" s="65"/>
      <c r="H69" s="65"/>
      <c r="I69" s="65"/>
      <c r="J69" s="65"/>
      <c r="K69" s="65"/>
      <c r="L69" s="65"/>
      <c r="M69" s="67"/>
      <c r="N69" s="29"/>
      <c r="O69" s="6"/>
    </row>
    <row r="70" spans="1:15" ht="15.75">
      <c r="A70" s="28"/>
      <c r="B70" s="29" t="s">
        <v>45</v>
      </c>
      <c r="C70" s="65">
        <v>0</v>
      </c>
      <c r="D70" s="65"/>
      <c r="E70" s="65">
        <v>0</v>
      </c>
      <c r="F70" s="65"/>
      <c r="G70" s="65"/>
      <c r="H70" s="65"/>
      <c r="I70" s="65"/>
      <c r="J70" s="65"/>
      <c r="K70" s="65"/>
      <c r="L70" s="65"/>
      <c r="M70" s="65">
        <f>E70+G70</f>
        <v>0</v>
      </c>
      <c r="N70" s="29"/>
      <c r="O70" s="6"/>
    </row>
    <row r="71" spans="1:15" ht="15.75">
      <c r="A71" s="28"/>
      <c r="B71" s="29" t="s">
        <v>46</v>
      </c>
      <c r="C71" s="65">
        <v>0</v>
      </c>
      <c r="D71" s="65"/>
      <c r="E71" s="67">
        <v>25</v>
      </c>
      <c r="F71" s="65"/>
      <c r="G71" s="65"/>
      <c r="H71" s="65"/>
      <c r="I71" s="65">
        <v>2901</v>
      </c>
      <c r="J71" s="65"/>
      <c r="K71" s="65"/>
      <c r="L71" s="65"/>
      <c r="M71" s="67">
        <f>E71+I71</f>
        <v>2926</v>
      </c>
      <c r="N71" s="29"/>
      <c r="O71" s="6"/>
    </row>
    <row r="72" spans="1:15" ht="15.75">
      <c r="A72" s="28"/>
      <c r="B72" s="29" t="s">
        <v>47</v>
      </c>
      <c r="C72" s="65">
        <v>40958</v>
      </c>
      <c r="D72" s="65"/>
      <c r="E72" s="67">
        <v>51634</v>
      </c>
      <c r="F72" s="65"/>
      <c r="G72" s="65">
        <f>G68+G61</f>
        <v>16950</v>
      </c>
      <c r="H72" s="65"/>
      <c r="I72" s="65">
        <f>-I68-I61</f>
        <v>-49943</v>
      </c>
      <c r="J72" s="65"/>
      <c r="K72" s="65"/>
      <c r="L72" s="65"/>
      <c r="M72" s="67">
        <f>E72+G88+I72</f>
        <v>18367</v>
      </c>
      <c r="N72" s="29"/>
      <c r="O72" s="6"/>
    </row>
    <row r="73" spans="1:15" ht="15.75">
      <c r="A73" s="28"/>
      <c r="B73" s="29" t="s">
        <v>48</v>
      </c>
      <c r="C73" s="65">
        <v>0</v>
      </c>
      <c r="D73" s="65"/>
      <c r="E73" s="67">
        <v>150</v>
      </c>
      <c r="F73" s="65"/>
      <c r="G73" s="65"/>
      <c r="H73" s="65"/>
      <c r="I73" s="65">
        <v>-274</v>
      </c>
      <c r="J73" s="65"/>
      <c r="K73" s="65"/>
      <c r="L73" s="65"/>
      <c r="M73" s="67">
        <f>-I73+E73</f>
        <v>424</v>
      </c>
      <c r="N73" s="29"/>
      <c r="O73" s="6"/>
    </row>
    <row r="74" spans="1:15" ht="15.75">
      <c r="A74" s="28"/>
      <c r="B74" s="29" t="s">
        <v>49</v>
      </c>
      <c r="C74" s="65">
        <v>-95</v>
      </c>
      <c r="D74" s="65"/>
      <c r="E74" s="67">
        <v>-95</v>
      </c>
      <c r="F74" s="65"/>
      <c r="G74" s="65">
        <v>0</v>
      </c>
      <c r="H74" s="65"/>
      <c r="I74" s="65"/>
      <c r="J74" s="65"/>
      <c r="K74" s="65"/>
      <c r="L74" s="65"/>
      <c r="M74" s="67">
        <f>E74+G74</f>
        <v>-95</v>
      </c>
      <c r="N74" s="29"/>
      <c r="O74" s="6"/>
    </row>
    <row r="75" spans="1:15" ht="15.75">
      <c r="A75" s="28"/>
      <c r="B75" s="29" t="s">
        <v>50</v>
      </c>
      <c r="C75" s="65">
        <v>0</v>
      </c>
      <c r="D75" s="65"/>
      <c r="E75" s="67">
        <v>0</v>
      </c>
      <c r="F75" s="65"/>
      <c r="G75" s="65"/>
      <c r="H75" s="65"/>
      <c r="I75" s="71"/>
      <c r="J75" s="65"/>
      <c r="K75" s="65"/>
      <c r="L75" s="65"/>
      <c r="M75" s="67">
        <v>0</v>
      </c>
      <c r="N75" s="29"/>
      <c r="O75" s="6"/>
    </row>
    <row r="76" spans="1:15" ht="15.75">
      <c r="A76" s="28"/>
      <c r="B76" s="29" t="s">
        <v>19</v>
      </c>
      <c r="C76" s="67">
        <f>SUM(C68:C74)+C61</f>
        <v>194998</v>
      </c>
      <c r="D76" s="67"/>
      <c r="E76" s="67">
        <f>SUM(E68:E75)+E61</f>
        <v>195023</v>
      </c>
      <c r="F76" s="65"/>
      <c r="G76" s="65">
        <f>G72-G74</f>
        <v>16950</v>
      </c>
      <c r="H76" s="65"/>
      <c r="I76" s="65"/>
      <c r="J76" s="65"/>
      <c r="K76" s="65"/>
      <c r="L76" s="65"/>
      <c r="M76" s="67">
        <f>SUM(M68:M75)+M61</f>
        <v>197924</v>
      </c>
      <c r="N76" s="29"/>
      <c r="O76" s="6"/>
    </row>
    <row r="77" spans="1:15" ht="15.75">
      <c r="A77" s="28"/>
      <c r="B77" s="65"/>
      <c r="C77" s="65"/>
      <c r="D77" s="65"/>
      <c r="E77" s="65"/>
      <c r="F77" s="65"/>
      <c r="G77" s="65"/>
      <c r="H77" s="65"/>
      <c r="I77" s="65"/>
      <c r="J77" s="65"/>
      <c r="K77" s="65"/>
      <c r="L77" s="65"/>
      <c r="M77" s="65"/>
      <c r="N77" s="29"/>
      <c r="O77" s="6"/>
    </row>
    <row r="78" spans="1:15" ht="15.75">
      <c r="A78" s="7"/>
      <c r="B78" s="68"/>
      <c r="C78" s="9"/>
      <c r="D78" s="9"/>
      <c r="E78" s="9"/>
      <c r="F78" s="9"/>
      <c r="G78" s="20" t="s">
        <v>192</v>
      </c>
      <c r="H78" s="9"/>
      <c r="I78" s="9"/>
      <c r="J78" s="9"/>
      <c r="K78" s="23"/>
      <c r="L78" s="9"/>
      <c r="M78" s="20" t="s">
        <v>192</v>
      </c>
      <c r="N78" s="9"/>
      <c r="O78" s="6"/>
    </row>
    <row r="79" spans="1:15" ht="15.75">
      <c r="A79" s="7"/>
      <c r="B79" s="63" t="s">
        <v>51</v>
      </c>
      <c r="C79" s="17"/>
      <c r="D79" s="17" t="s">
        <v>178</v>
      </c>
      <c r="E79" s="17" t="s">
        <v>181</v>
      </c>
      <c r="F79" s="17"/>
      <c r="G79" s="20" t="s">
        <v>193</v>
      </c>
      <c r="H79" s="17"/>
      <c r="I79" s="17" t="s">
        <v>178</v>
      </c>
      <c r="J79" s="20"/>
      <c r="K79" s="20" t="s">
        <v>181</v>
      </c>
      <c r="L79" s="20"/>
      <c r="M79" s="20" t="s">
        <v>223</v>
      </c>
      <c r="N79" s="17"/>
      <c r="O79" s="6"/>
    </row>
    <row r="80" spans="1:15" ht="15.75">
      <c r="A80" s="28"/>
      <c r="B80" s="29" t="s">
        <v>52</v>
      </c>
      <c r="C80" s="29"/>
      <c r="D80" s="29">
        <v>0</v>
      </c>
      <c r="E80" s="29">
        <v>0</v>
      </c>
      <c r="F80" s="29"/>
      <c r="G80" s="65">
        <f>SUM(C80:E80)</f>
        <v>0</v>
      </c>
      <c r="H80" s="29"/>
      <c r="I80" s="29">
        <v>0</v>
      </c>
      <c r="J80" s="29"/>
      <c r="K80" s="65">
        <f>SUM(G80:I80)</f>
        <v>0</v>
      </c>
      <c r="L80" s="29"/>
      <c r="M80" s="66">
        <v>0</v>
      </c>
      <c r="N80" s="29"/>
      <c r="O80" s="6"/>
    </row>
    <row r="81" spans="1:15" ht="15.75">
      <c r="A81" s="28"/>
      <c r="B81" s="29" t="s">
        <v>53</v>
      </c>
      <c r="C81" s="53"/>
      <c r="D81" s="29">
        <v>7116</v>
      </c>
      <c r="E81" s="29">
        <v>9248</v>
      </c>
      <c r="F81" s="29"/>
      <c r="G81" s="65">
        <f>E81+D81</f>
        <v>16364</v>
      </c>
      <c r="H81" s="29"/>
      <c r="I81" s="29"/>
      <c r="J81" s="29"/>
      <c r="K81" s="65">
        <v>0</v>
      </c>
      <c r="L81" s="29"/>
      <c r="M81" s="66"/>
      <c r="N81" s="29"/>
      <c r="O81" s="6"/>
    </row>
    <row r="82" spans="1:15" ht="15.75">
      <c r="A82" s="28"/>
      <c r="B82" s="29" t="s">
        <v>54</v>
      </c>
      <c r="C82" s="29"/>
      <c r="D82" s="29"/>
      <c r="E82" s="29"/>
      <c r="F82" s="29"/>
      <c r="G82" s="65"/>
      <c r="H82" s="29"/>
      <c r="I82" s="29">
        <f>1265+97+1525+126+1491+194+17-1768</f>
        <v>2947</v>
      </c>
      <c r="J82" s="29"/>
      <c r="K82" s="65">
        <f>2076+92+3009+194+2764+144+10-5024</f>
        <v>3265</v>
      </c>
      <c r="L82" s="29"/>
      <c r="M82" s="66">
        <f>K82+I82</f>
        <v>6212</v>
      </c>
      <c r="N82" s="29"/>
      <c r="O82" s="6"/>
    </row>
    <row r="83" spans="1:15" ht="15.75">
      <c r="A83" s="28"/>
      <c r="B83" s="29" t="s">
        <v>55</v>
      </c>
      <c r="C83" s="29"/>
      <c r="D83" s="29"/>
      <c r="E83" s="29"/>
      <c r="F83" s="29"/>
      <c r="G83" s="65"/>
      <c r="H83" s="29"/>
      <c r="I83" s="29"/>
      <c r="J83" s="29"/>
      <c r="K83" s="65"/>
      <c r="L83" s="29"/>
      <c r="M83" s="66">
        <f>356+74+105</f>
        <v>535</v>
      </c>
      <c r="N83" s="29"/>
      <c r="O83" s="6"/>
    </row>
    <row r="84" spans="1:15" ht="15.75">
      <c r="A84" s="28"/>
      <c r="B84" s="29" t="s">
        <v>56</v>
      </c>
      <c r="C84" s="29"/>
      <c r="D84" s="29"/>
      <c r="E84" s="29"/>
      <c r="F84" s="29"/>
      <c r="G84" s="65"/>
      <c r="H84" s="29"/>
      <c r="I84" s="29"/>
      <c r="J84" s="29"/>
      <c r="K84" s="65"/>
      <c r="L84" s="29"/>
      <c r="M84" s="66">
        <v>0</v>
      </c>
      <c r="N84" s="29"/>
      <c r="O84" s="6"/>
    </row>
    <row r="85" spans="1:15" ht="15.75">
      <c r="A85" s="28"/>
      <c r="B85" s="29" t="s">
        <v>57</v>
      </c>
      <c r="C85" s="29"/>
      <c r="D85" s="29"/>
      <c r="E85" s="29"/>
      <c r="F85" s="29"/>
      <c r="G85" s="65"/>
      <c r="H85" s="29"/>
      <c r="I85" s="29"/>
      <c r="J85" s="29"/>
      <c r="K85" s="65"/>
      <c r="L85" s="29"/>
      <c r="M85" s="66">
        <v>0</v>
      </c>
      <c r="N85" s="29"/>
      <c r="O85" s="6"/>
    </row>
    <row r="86" spans="1:15" ht="15.75">
      <c r="A86" s="28"/>
      <c r="B86" s="29" t="s">
        <v>58</v>
      </c>
      <c r="C86" s="29"/>
      <c r="D86" s="65">
        <f>SUM(D80:D85)</f>
        <v>7116</v>
      </c>
      <c r="E86" s="65">
        <f>SUM(E80:E85)</f>
        <v>9248</v>
      </c>
      <c r="F86" s="29"/>
      <c r="G86" s="65">
        <f>SUM(G80:G85)</f>
        <v>16364</v>
      </c>
      <c r="H86" s="29"/>
      <c r="I86" s="65">
        <f>SUM(I80:I85)</f>
        <v>2947</v>
      </c>
      <c r="J86" s="29"/>
      <c r="K86" s="65">
        <f>SUM(K80:K85)</f>
        <v>3265</v>
      </c>
      <c r="L86" s="29"/>
      <c r="M86" s="67">
        <f>SUM(M80:M85)</f>
        <v>6747</v>
      </c>
      <c r="N86" s="29"/>
      <c r="O86" s="6"/>
    </row>
    <row r="87" spans="1:15" ht="15.75">
      <c r="A87" s="28"/>
      <c r="B87" s="29" t="s">
        <v>59</v>
      </c>
      <c r="C87" s="29"/>
      <c r="D87" s="65">
        <f>G59</f>
        <v>122</v>
      </c>
      <c r="E87" s="65">
        <f>G66</f>
        <v>190</v>
      </c>
      <c r="F87" s="29"/>
      <c r="G87" s="65">
        <f>E87+D87</f>
        <v>312</v>
      </c>
      <c r="H87" s="29"/>
      <c r="I87" s="65">
        <v>0</v>
      </c>
      <c r="J87" s="29"/>
      <c r="K87" s="65">
        <v>0</v>
      </c>
      <c r="L87" s="29"/>
      <c r="M87" s="66">
        <f>-G87</f>
        <v>-312</v>
      </c>
      <c r="N87" s="29"/>
      <c r="O87" s="6"/>
    </row>
    <row r="88" spans="1:15" ht="15.75">
      <c r="A88" s="28"/>
      <c r="B88" s="29" t="s">
        <v>60</v>
      </c>
      <c r="C88" s="29"/>
      <c r="D88" s="65">
        <f>D86+D87</f>
        <v>7238</v>
      </c>
      <c r="E88" s="65">
        <f>E86+E87</f>
        <v>9438</v>
      </c>
      <c r="F88" s="29"/>
      <c r="G88" s="65">
        <f>G86+G87</f>
        <v>16676</v>
      </c>
      <c r="H88" s="29"/>
      <c r="I88" s="65">
        <f>I86+I87</f>
        <v>2947</v>
      </c>
      <c r="J88" s="29"/>
      <c r="K88" s="65">
        <f>K86+K87</f>
        <v>3265</v>
      </c>
      <c r="L88" s="29"/>
      <c r="M88" s="67">
        <f>M86+M87</f>
        <v>6435</v>
      </c>
      <c r="N88" s="29"/>
      <c r="O88" s="6"/>
    </row>
    <row r="89" spans="1:15" ht="15.75">
      <c r="A89" s="28"/>
      <c r="B89" s="157" t="s">
        <v>61</v>
      </c>
      <c r="C89" s="72"/>
      <c r="D89" s="72"/>
      <c r="E89" s="29"/>
      <c r="F89" s="29"/>
      <c r="G89" s="29"/>
      <c r="H89" s="29"/>
      <c r="I89" s="29"/>
      <c r="J89" s="29"/>
      <c r="K89" s="65"/>
      <c r="L89" s="29"/>
      <c r="M89" s="66"/>
      <c r="N89" s="29"/>
      <c r="O89" s="6"/>
    </row>
    <row r="90" spans="1:15" ht="15.75">
      <c r="A90" s="28">
        <v>1</v>
      </c>
      <c r="B90" s="29" t="s">
        <v>62</v>
      </c>
      <c r="C90" s="29"/>
      <c r="D90" s="29"/>
      <c r="E90" s="29"/>
      <c r="F90" s="29"/>
      <c r="G90" s="29"/>
      <c r="H90" s="29"/>
      <c r="I90" s="29"/>
      <c r="J90" s="29"/>
      <c r="K90" s="29"/>
      <c r="L90" s="29"/>
      <c r="M90" s="66">
        <v>-4</v>
      </c>
      <c r="N90" s="29"/>
      <c r="O90" s="6"/>
    </row>
    <row r="91" spans="1:15" ht="15.75">
      <c r="A91" s="28">
        <v>2</v>
      </c>
      <c r="B91" s="29" t="s">
        <v>63</v>
      </c>
      <c r="C91" s="29"/>
      <c r="D91" s="29"/>
      <c r="E91" s="29"/>
      <c r="F91" s="29"/>
      <c r="G91" s="29"/>
      <c r="H91" s="29"/>
      <c r="I91" s="29"/>
      <c r="J91" s="29"/>
      <c r="K91" s="29"/>
      <c r="L91" s="29"/>
      <c r="M91" s="66">
        <v>-201</v>
      </c>
      <c r="N91" s="29"/>
      <c r="O91" s="6"/>
    </row>
    <row r="92" spans="1:15" ht="15.75">
      <c r="A92" s="28">
        <v>3</v>
      </c>
      <c r="B92" s="29" t="s">
        <v>64</v>
      </c>
      <c r="C92" s="29"/>
      <c r="D92" s="29"/>
      <c r="E92" s="29"/>
      <c r="F92" s="29"/>
      <c r="G92" s="29"/>
      <c r="H92" s="29"/>
      <c r="I92" s="29"/>
      <c r="J92" s="29"/>
      <c r="K92" s="29"/>
      <c r="L92" s="29"/>
      <c r="M92" s="66">
        <v>-2527</v>
      </c>
      <c r="N92" s="29"/>
      <c r="O92" s="6"/>
    </row>
    <row r="93" spans="1:15" ht="15.75">
      <c r="A93" s="28">
        <v>4</v>
      </c>
      <c r="B93" s="29" t="s">
        <v>227</v>
      </c>
      <c r="C93" s="29"/>
      <c r="D93" s="29"/>
      <c r="E93" s="29"/>
      <c r="F93" s="29"/>
      <c r="G93" s="29"/>
      <c r="H93" s="29"/>
      <c r="I93" s="29"/>
      <c r="J93" s="29"/>
      <c r="K93" s="29"/>
      <c r="L93" s="29"/>
      <c r="M93" s="66">
        <v>-33</v>
      </c>
      <c r="N93" s="29"/>
      <c r="O93" s="6"/>
    </row>
    <row r="94" spans="1:15" ht="15.75">
      <c r="A94" s="28">
        <v>4</v>
      </c>
      <c r="B94" s="29" t="s">
        <v>65</v>
      </c>
      <c r="C94" s="29"/>
      <c r="D94" s="29"/>
      <c r="E94" s="29"/>
      <c r="F94" s="29"/>
      <c r="G94" s="29"/>
      <c r="H94" s="29"/>
      <c r="I94" s="29"/>
      <c r="J94" s="29"/>
      <c r="K94" s="29"/>
      <c r="L94" s="29"/>
      <c r="M94" s="66">
        <v>-3</v>
      </c>
      <c r="N94" s="29"/>
      <c r="O94" s="6"/>
    </row>
    <row r="95" spans="1:15" ht="15.75">
      <c r="A95" s="28">
        <v>5</v>
      </c>
      <c r="B95" s="29" t="s">
        <v>66</v>
      </c>
      <c r="C95" s="29"/>
      <c r="D95" s="29"/>
      <c r="E95" s="29"/>
      <c r="F95" s="29"/>
      <c r="G95" s="29"/>
      <c r="H95" s="29"/>
      <c r="I95" s="29"/>
      <c r="J95" s="29"/>
      <c r="K95" s="29"/>
      <c r="L95" s="29"/>
      <c r="M95" s="66">
        <v>-266</v>
      </c>
      <c r="N95" s="29"/>
      <c r="O95" s="6"/>
    </row>
    <row r="96" spans="1:15" ht="15.75">
      <c r="A96" s="28">
        <v>6</v>
      </c>
      <c r="B96" s="29" t="s">
        <v>67</v>
      </c>
      <c r="C96" s="29"/>
      <c r="D96" s="29"/>
      <c r="E96" s="29"/>
      <c r="F96" s="29"/>
      <c r="G96" s="29"/>
      <c r="H96" s="29"/>
      <c r="I96" s="29"/>
      <c r="J96" s="29"/>
      <c r="K96" s="29"/>
      <c r="L96" s="29"/>
      <c r="M96" s="66">
        <v>-180</v>
      </c>
      <c r="N96" s="29"/>
      <c r="O96" s="6"/>
    </row>
    <row r="97" spans="1:15" ht="15.75">
      <c r="A97" s="28">
        <v>7</v>
      </c>
      <c r="B97" s="29" t="s">
        <v>68</v>
      </c>
      <c r="C97" s="29"/>
      <c r="D97" s="29"/>
      <c r="E97" s="29"/>
      <c r="F97" s="29"/>
      <c r="G97" s="29"/>
      <c r="H97" s="29"/>
      <c r="I97" s="29"/>
      <c r="J97" s="29"/>
      <c r="K97" s="29"/>
      <c r="L97" s="29"/>
      <c r="M97" s="66">
        <v>0</v>
      </c>
      <c r="N97" s="29"/>
      <c r="O97" s="6"/>
    </row>
    <row r="98" spans="1:15" ht="15.75">
      <c r="A98" s="28">
        <v>8</v>
      </c>
      <c r="B98" s="29" t="s">
        <v>69</v>
      </c>
      <c r="C98" s="29"/>
      <c r="D98" s="29"/>
      <c r="E98" s="29"/>
      <c r="F98" s="29"/>
      <c r="G98" s="29"/>
      <c r="H98" s="29"/>
      <c r="I98" s="29"/>
      <c r="J98" s="29"/>
      <c r="K98" s="65">
        <f>-M98</f>
        <v>274</v>
      </c>
      <c r="L98" s="29"/>
      <c r="M98" s="66">
        <f>I73</f>
        <v>-274</v>
      </c>
      <c r="N98" s="29"/>
      <c r="O98" s="6"/>
    </row>
    <row r="99" spans="1:15" ht="15.75">
      <c r="A99" s="28">
        <v>9</v>
      </c>
      <c r="B99" s="29" t="s">
        <v>46</v>
      </c>
      <c r="C99" s="29"/>
      <c r="D99" s="29"/>
      <c r="E99" s="29"/>
      <c r="F99" s="29"/>
      <c r="G99" s="29"/>
      <c r="H99" s="29"/>
      <c r="I99" s="29"/>
      <c r="J99" s="29"/>
      <c r="K99" s="65">
        <f>-M99</f>
        <v>2901</v>
      </c>
      <c r="L99" s="29"/>
      <c r="M99" s="66">
        <v>-2901</v>
      </c>
      <c r="N99" s="29"/>
      <c r="O99" s="6"/>
    </row>
    <row r="100" spans="1:15" ht="15.75">
      <c r="A100" s="28">
        <v>10</v>
      </c>
      <c r="B100" s="29" t="s">
        <v>228</v>
      </c>
      <c r="C100" s="29"/>
      <c r="D100" s="29"/>
      <c r="E100" s="29"/>
      <c r="F100" s="29"/>
      <c r="G100" s="29"/>
      <c r="H100" s="29"/>
      <c r="I100" s="29"/>
      <c r="J100" s="29"/>
      <c r="K100" s="29"/>
      <c r="L100" s="29"/>
      <c r="M100" s="66">
        <v>-3</v>
      </c>
      <c r="N100" s="29"/>
      <c r="O100" s="6"/>
    </row>
    <row r="101" spans="1:15" ht="15.75">
      <c r="A101" s="28">
        <v>11</v>
      </c>
      <c r="B101" s="29" t="s">
        <v>71</v>
      </c>
      <c r="C101" s="29"/>
      <c r="D101" s="29"/>
      <c r="E101" s="29"/>
      <c r="F101" s="29"/>
      <c r="G101" s="29"/>
      <c r="H101" s="29"/>
      <c r="I101" s="29"/>
      <c r="J101" s="29"/>
      <c r="K101" s="29"/>
      <c r="L101" s="29"/>
      <c r="M101" s="66">
        <v>-43</v>
      </c>
      <c r="N101" s="29"/>
      <c r="O101" s="6"/>
    </row>
    <row r="102" spans="1:15" ht="15.75">
      <c r="A102" s="28"/>
      <c r="B102" s="157" t="s">
        <v>72</v>
      </c>
      <c r="C102" s="72"/>
      <c r="D102" s="72"/>
      <c r="E102" s="29"/>
      <c r="F102" s="29"/>
      <c r="G102" s="29"/>
      <c r="H102" s="29"/>
      <c r="I102" s="29"/>
      <c r="J102" s="29"/>
      <c r="K102" s="29"/>
      <c r="L102" s="29"/>
      <c r="M102" s="73"/>
      <c r="N102" s="29"/>
      <c r="O102" s="6"/>
    </row>
    <row r="103" spans="1:15" ht="15.75">
      <c r="A103" s="28"/>
      <c r="B103" s="74" t="s">
        <v>73</v>
      </c>
      <c r="C103" s="72"/>
      <c r="D103" s="72"/>
      <c r="E103" s="29"/>
      <c r="F103" s="29"/>
      <c r="G103" s="29"/>
      <c r="H103" s="29"/>
      <c r="I103" s="29"/>
      <c r="J103" s="29"/>
      <c r="K103" s="65">
        <f>E72</f>
        <v>51634</v>
      </c>
      <c r="L103" s="29"/>
      <c r="M103" s="73"/>
      <c r="N103" s="29"/>
      <c r="O103" s="6"/>
    </row>
    <row r="104" spans="1:15" ht="15.75">
      <c r="A104" s="28"/>
      <c r="B104" s="74" t="s">
        <v>74</v>
      </c>
      <c r="C104" s="72"/>
      <c r="D104" s="72"/>
      <c r="E104" s="29"/>
      <c r="F104" s="29"/>
      <c r="G104" s="29"/>
      <c r="H104" s="29"/>
      <c r="I104" s="29"/>
      <c r="J104" s="29"/>
      <c r="K104" s="65">
        <f>G88</f>
        <v>16676</v>
      </c>
      <c r="L104" s="29"/>
      <c r="M104" s="73"/>
      <c r="N104" s="29"/>
      <c r="O104" s="6"/>
    </row>
    <row r="105" spans="1:15" ht="15.75">
      <c r="A105" s="75"/>
      <c r="B105" s="29" t="s">
        <v>75</v>
      </c>
      <c r="C105" s="72"/>
      <c r="D105" s="72"/>
      <c r="E105" s="29"/>
      <c r="F105" s="29"/>
      <c r="G105" s="29"/>
      <c r="H105" s="29"/>
      <c r="I105" s="29"/>
      <c r="J105" s="29"/>
      <c r="K105" s="65">
        <f>-I68-I61</f>
        <v>-49943</v>
      </c>
      <c r="L105" s="29"/>
      <c r="M105" s="73"/>
      <c r="N105" s="29"/>
      <c r="O105" s="6"/>
    </row>
    <row r="106" spans="1:15" ht="15.75">
      <c r="A106" s="28"/>
      <c r="B106" s="29" t="s">
        <v>76</v>
      </c>
      <c r="C106" s="72"/>
      <c r="D106" s="72"/>
      <c r="E106" s="29"/>
      <c r="F106" s="29"/>
      <c r="G106" s="29"/>
      <c r="H106" s="29"/>
      <c r="I106" s="29"/>
      <c r="J106" s="29"/>
      <c r="K106" s="65">
        <v>0</v>
      </c>
      <c r="L106" s="65"/>
      <c r="M106" s="66"/>
      <c r="N106" s="29"/>
      <c r="O106" s="6"/>
    </row>
    <row r="107" spans="1:15" ht="15.75">
      <c r="A107" s="28"/>
      <c r="B107" s="29" t="s">
        <v>77</v>
      </c>
      <c r="C107" s="29"/>
      <c r="D107" s="29"/>
      <c r="E107" s="29"/>
      <c r="F107" s="29"/>
      <c r="G107" s="29"/>
      <c r="H107" s="29"/>
      <c r="I107" s="29"/>
      <c r="J107" s="29"/>
      <c r="K107" s="65">
        <v>0</v>
      </c>
      <c r="L107" s="65"/>
      <c r="M107" s="66"/>
      <c r="N107" s="29"/>
      <c r="O107" s="6"/>
    </row>
    <row r="108" spans="1:15" ht="15.75">
      <c r="A108" s="28"/>
      <c r="B108" s="29" t="s">
        <v>78</v>
      </c>
      <c r="C108" s="29"/>
      <c r="D108" s="29"/>
      <c r="E108" s="29"/>
      <c r="F108" s="29"/>
      <c r="G108" s="29"/>
      <c r="H108" s="29"/>
      <c r="I108" s="29"/>
      <c r="J108" s="29"/>
      <c r="K108" s="65">
        <v>0</v>
      </c>
      <c r="L108" s="65"/>
      <c r="M108" s="66"/>
      <c r="N108" s="29"/>
      <c r="O108" s="6"/>
    </row>
    <row r="109" spans="1:15" ht="15.75">
      <c r="A109" s="28"/>
      <c r="B109" s="29" t="s">
        <v>79</v>
      </c>
      <c r="C109" s="29"/>
      <c r="D109" s="29"/>
      <c r="E109" s="29"/>
      <c r="F109" s="29"/>
      <c r="G109" s="29"/>
      <c r="H109" s="29"/>
      <c r="I109" s="29"/>
      <c r="J109" s="29"/>
      <c r="K109" s="65">
        <v>0</v>
      </c>
      <c r="L109" s="65"/>
      <c r="M109" s="66"/>
      <c r="N109" s="29"/>
      <c r="O109" s="6"/>
    </row>
    <row r="110" spans="1:15" ht="15.75">
      <c r="A110" s="28"/>
      <c r="B110" s="29" t="s">
        <v>80</v>
      </c>
      <c r="C110" s="29"/>
      <c r="D110" s="29"/>
      <c r="E110" s="29"/>
      <c r="F110" s="29"/>
      <c r="G110" s="29"/>
      <c r="H110" s="29"/>
      <c r="I110" s="29"/>
      <c r="J110" s="29"/>
      <c r="K110" s="65">
        <v>0</v>
      </c>
      <c r="L110" s="65"/>
      <c r="M110" s="66"/>
      <c r="N110" s="29"/>
      <c r="O110" s="6"/>
    </row>
    <row r="111" spans="1:15" ht="15.75">
      <c r="A111" s="28"/>
      <c r="B111" s="29" t="s">
        <v>81</v>
      </c>
      <c r="C111" s="29"/>
      <c r="D111" s="29"/>
      <c r="E111" s="29"/>
      <c r="F111" s="29"/>
      <c r="G111" s="29"/>
      <c r="H111" s="29"/>
      <c r="I111" s="29"/>
      <c r="J111" s="29"/>
      <c r="K111" s="65">
        <v>0</v>
      </c>
      <c r="L111" s="65"/>
      <c r="M111" s="66"/>
      <c r="N111" s="29"/>
      <c r="O111" s="6"/>
    </row>
    <row r="112" spans="1:15" ht="15.75">
      <c r="A112" s="28"/>
      <c r="B112" s="29" t="s">
        <v>82</v>
      </c>
      <c r="C112" s="29"/>
      <c r="D112" s="29"/>
      <c r="E112" s="29"/>
      <c r="F112" s="29"/>
      <c r="G112" s="29"/>
      <c r="H112" s="29"/>
      <c r="I112" s="29"/>
      <c r="J112" s="29"/>
      <c r="K112" s="65">
        <f>SUM(K105:K111)</f>
        <v>-49943</v>
      </c>
      <c r="L112" s="65"/>
      <c r="M112" s="65">
        <f>SUM(M89:M101)</f>
        <v>-6435</v>
      </c>
      <c r="N112" s="29"/>
      <c r="O112" s="6"/>
    </row>
    <row r="113" spans="1:15" ht="15.75">
      <c r="A113" s="28"/>
      <c r="B113" s="29" t="s">
        <v>83</v>
      </c>
      <c r="C113" s="29"/>
      <c r="D113" s="29"/>
      <c r="E113" s="29"/>
      <c r="F113" s="29"/>
      <c r="G113" s="29"/>
      <c r="H113" s="29"/>
      <c r="I113" s="29"/>
      <c r="J113" s="29"/>
      <c r="K113" s="65">
        <f>SUM(K103:K111)+SUM(K98:K99)</f>
        <v>21542</v>
      </c>
      <c r="L113" s="65"/>
      <c r="M113" s="65">
        <f>M88+M112</f>
        <v>0</v>
      </c>
      <c r="N113" s="29"/>
      <c r="O113" s="6"/>
    </row>
    <row r="114" spans="1:15" ht="15.75">
      <c r="A114" s="28"/>
      <c r="B114" s="29"/>
      <c r="C114" s="29"/>
      <c r="D114" s="29"/>
      <c r="E114" s="29"/>
      <c r="F114" s="29"/>
      <c r="G114" s="29"/>
      <c r="H114" s="29"/>
      <c r="I114" s="29"/>
      <c r="J114" s="29"/>
      <c r="K114" s="65"/>
      <c r="L114" s="65"/>
      <c r="M114" s="65"/>
      <c r="N114" s="29"/>
      <c r="O114" s="6"/>
    </row>
    <row r="115" spans="1:15" ht="15.75">
      <c r="A115" s="7"/>
      <c r="B115" s="14"/>
      <c r="C115" s="9"/>
      <c r="D115" s="9"/>
      <c r="E115" s="9"/>
      <c r="F115" s="9"/>
      <c r="G115" s="9"/>
      <c r="H115" s="9"/>
      <c r="I115" s="9"/>
      <c r="J115" s="9"/>
      <c r="K115" s="68"/>
      <c r="L115" s="68"/>
      <c r="M115" s="68"/>
      <c r="N115" s="9"/>
      <c r="O115" s="6"/>
    </row>
    <row r="116" spans="1:15" ht="16.5" thickBot="1">
      <c r="A116" s="134"/>
      <c r="B116" s="135" t="s">
        <v>226</v>
      </c>
      <c r="C116" s="136"/>
      <c r="D116" s="136"/>
      <c r="E116" s="136"/>
      <c r="F116" s="136"/>
      <c r="G116" s="136"/>
      <c r="H116" s="136"/>
      <c r="I116" s="136"/>
      <c r="J116" s="136"/>
      <c r="K116" s="139"/>
      <c r="L116" s="139"/>
      <c r="M116" s="139"/>
      <c r="N116" s="138"/>
      <c r="O116" s="6"/>
    </row>
    <row r="117" spans="1:15" ht="15.75">
      <c r="A117" s="2"/>
      <c r="B117" s="5"/>
      <c r="C117" s="5"/>
      <c r="D117" s="5"/>
      <c r="E117" s="5"/>
      <c r="F117" s="5"/>
      <c r="G117" s="5"/>
      <c r="H117" s="5"/>
      <c r="I117" s="5"/>
      <c r="J117" s="5"/>
      <c r="K117" s="76"/>
      <c r="L117" s="76"/>
      <c r="M117" s="76"/>
      <c r="N117" s="5"/>
      <c r="O117" s="6"/>
    </row>
    <row r="118" spans="1:15" ht="15.75">
      <c r="A118" s="7"/>
      <c r="B118" s="9"/>
      <c r="C118" s="9"/>
      <c r="D118" s="9"/>
      <c r="E118" s="9"/>
      <c r="F118" s="9"/>
      <c r="G118" s="9"/>
      <c r="H118" s="9"/>
      <c r="I118" s="9"/>
      <c r="J118" s="9"/>
      <c r="K118" s="9"/>
      <c r="L118" s="9"/>
      <c r="M118" s="64"/>
      <c r="N118" s="9"/>
      <c r="O118" s="6"/>
    </row>
    <row r="119" spans="1:15" ht="15.75">
      <c r="A119" s="77"/>
      <c r="B119" s="78"/>
      <c r="C119" s="78"/>
      <c r="D119" s="78"/>
      <c r="E119" s="78"/>
      <c r="F119" s="78"/>
      <c r="G119" s="78"/>
      <c r="H119" s="78"/>
      <c r="I119" s="78"/>
      <c r="J119" s="78"/>
      <c r="K119" s="78"/>
      <c r="L119" s="78"/>
      <c r="M119" s="79"/>
      <c r="N119" s="78"/>
      <c r="O119" s="6"/>
    </row>
    <row r="120" spans="1:15" ht="15.75">
      <c r="A120" s="77"/>
      <c r="B120" s="80" t="s">
        <v>84</v>
      </c>
      <c r="C120" s="78"/>
      <c r="D120" s="78"/>
      <c r="E120" s="78"/>
      <c r="F120" s="78"/>
      <c r="G120" s="78"/>
      <c r="H120" s="78"/>
      <c r="I120" s="78"/>
      <c r="J120" s="78"/>
      <c r="K120" s="78"/>
      <c r="L120" s="78"/>
      <c r="M120" s="79"/>
      <c r="N120" s="81"/>
      <c r="O120" s="6"/>
    </row>
    <row r="121" spans="1:15" ht="15.75">
      <c r="A121" s="77"/>
      <c r="B121" s="78"/>
      <c r="C121" s="78"/>
      <c r="D121" s="78"/>
      <c r="E121" s="78"/>
      <c r="F121" s="78"/>
      <c r="G121" s="78"/>
      <c r="H121" s="78"/>
      <c r="I121" s="78"/>
      <c r="J121" s="78"/>
      <c r="K121" s="78"/>
      <c r="L121" s="78"/>
      <c r="M121" s="79"/>
      <c r="N121" s="78"/>
      <c r="O121" s="6"/>
    </row>
    <row r="122" spans="1:15" ht="15.75">
      <c r="A122" s="7"/>
      <c r="B122" s="158" t="s">
        <v>85</v>
      </c>
      <c r="C122" s="15"/>
      <c r="D122" s="15"/>
      <c r="E122" s="9"/>
      <c r="F122" s="9"/>
      <c r="G122" s="9"/>
      <c r="H122" s="9"/>
      <c r="I122" s="9"/>
      <c r="J122" s="9"/>
      <c r="K122" s="9"/>
      <c r="L122" s="9"/>
      <c r="M122" s="64"/>
      <c r="N122" s="9"/>
      <c r="O122" s="6"/>
    </row>
    <row r="123" spans="1:15" ht="15.75">
      <c r="A123" s="28"/>
      <c r="B123" s="29" t="s">
        <v>86</v>
      </c>
      <c r="C123" s="29"/>
      <c r="D123" s="29"/>
      <c r="E123" s="29"/>
      <c r="F123" s="29"/>
      <c r="G123" s="29"/>
      <c r="H123" s="29"/>
      <c r="I123" s="29"/>
      <c r="J123" s="29"/>
      <c r="K123" s="29"/>
      <c r="L123" s="29"/>
      <c r="M123" s="66">
        <v>6852</v>
      </c>
      <c r="N123" s="29"/>
      <c r="O123" s="6"/>
    </row>
    <row r="124" spans="1:15" ht="15.75">
      <c r="A124" s="28"/>
      <c r="B124" s="29" t="s">
        <v>87</v>
      </c>
      <c r="C124" s="29"/>
      <c r="D124" s="29"/>
      <c r="E124" s="29"/>
      <c r="F124" s="29"/>
      <c r="G124" s="29"/>
      <c r="H124" s="29"/>
      <c r="I124" s="29"/>
      <c r="J124" s="29"/>
      <c r="K124" s="29"/>
      <c r="L124" s="29"/>
      <c r="M124" s="66">
        <v>0</v>
      </c>
      <c r="N124" s="29"/>
      <c r="O124" s="6"/>
    </row>
    <row r="125" spans="1:15" ht="15.75">
      <c r="A125" s="28"/>
      <c r="B125" s="29" t="s">
        <v>88</v>
      </c>
      <c r="C125" s="29"/>
      <c r="D125" s="29"/>
      <c r="E125" s="29"/>
      <c r="F125" s="29"/>
      <c r="G125" s="29"/>
      <c r="H125" s="29"/>
      <c r="I125" s="29"/>
      <c r="J125" s="29"/>
      <c r="K125" s="29"/>
      <c r="L125" s="29"/>
      <c r="M125" s="66">
        <v>0</v>
      </c>
      <c r="N125" s="29"/>
      <c r="O125" s="6"/>
    </row>
    <row r="126" spans="1:15" ht="15.75">
      <c r="A126" s="28"/>
      <c r="B126" s="29" t="s">
        <v>89</v>
      </c>
      <c r="C126" s="29"/>
      <c r="D126" s="29"/>
      <c r="E126" s="29"/>
      <c r="F126" s="29"/>
      <c r="G126" s="29"/>
      <c r="H126" s="29"/>
      <c r="I126" s="29"/>
      <c r="J126" s="29"/>
      <c r="K126" s="29"/>
      <c r="L126" s="29"/>
      <c r="M126" s="66">
        <v>-1000</v>
      </c>
      <c r="N126" s="29"/>
      <c r="O126" s="6"/>
    </row>
    <row r="127" spans="1:15" ht="15.75">
      <c r="A127" s="28"/>
      <c r="B127" s="29" t="s">
        <v>90</v>
      </c>
      <c r="C127" s="29"/>
      <c r="D127" s="29"/>
      <c r="E127" s="29"/>
      <c r="F127" s="29"/>
      <c r="G127" s="29"/>
      <c r="H127" s="29"/>
      <c r="I127" s="29"/>
      <c r="J127" s="29"/>
      <c r="K127" s="29"/>
      <c r="L127" s="29"/>
      <c r="M127" s="66">
        <v>0</v>
      </c>
      <c r="N127" s="29"/>
      <c r="O127" s="6"/>
    </row>
    <row r="128" spans="1:15" ht="15.75">
      <c r="A128" s="28"/>
      <c r="B128" s="29" t="s">
        <v>91</v>
      </c>
      <c r="C128" s="29"/>
      <c r="D128" s="29"/>
      <c r="E128" s="29"/>
      <c r="F128" s="29"/>
      <c r="G128" s="29"/>
      <c r="H128" s="29"/>
      <c r="I128" s="29"/>
      <c r="J128" s="29"/>
      <c r="K128" s="29"/>
      <c r="L128" s="29"/>
      <c r="M128" s="66">
        <v>0</v>
      </c>
      <c r="N128" s="29"/>
      <c r="O128" s="6"/>
    </row>
    <row r="129" spans="1:15" ht="15.75">
      <c r="A129" s="28"/>
      <c r="B129" s="29" t="s">
        <v>66</v>
      </c>
      <c r="C129" s="29"/>
      <c r="D129" s="29"/>
      <c r="E129" s="29"/>
      <c r="F129" s="29"/>
      <c r="G129" s="29"/>
      <c r="H129" s="29"/>
      <c r="I129" s="29"/>
      <c r="J129" s="29"/>
      <c r="K129" s="29"/>
      <c r="L129" s="29"/>
      <c r="M129" s="66">
        <v>0</v>
      </c>
      <c r="N129" s="29"/>
      <c r="O129" s="6"/>
    </row>
    <row r="130" spans="1:15" ht="15.75">
      <c r="A130" s="28"/>
      <c r="B130" s="29" t="s">
        <v>67</v>
      </c>
      <c r="C130" s="29"/>
      <c r="D130" s="29"/>
      <c r="E130" s="29"/>
      <c r="F130" s="29"/>
      <c r="G130" s="29"/>
      <c r="H130" s="29"/>
      <c r="I130" s="29"/>
      <c r="J130" s="29"/>
      <c r="K130" s="29"/>
      <c r="L130" s="29"/>
      <c r="M130" s="66">
        <v>0</v>
      </c>
      <c r="N130" s="29"/>
      <c r="O130" s="6"/>
    </row>
    <row r="131" spans="1:15" ht="15.75">
      <c r="A131" s="28"/>
      <c r="B131" s="29" t="s">
        <v>92</v>
      </c>
      <c r="C131" s="29"/>
      <c r="D131" s="29"/>
      <c r="E131" s="29"/>
      <c r="F131" s="29"/>
      <c r="G131" s="29"/>
      <c r="H131" s="29"/>
      <c r="I131" s="29"/>
      <c r="J131" s="29"/>
      <c r="K131" s="29"/>
      <c r="L131" s="29"/>
      <c r="M131" s="66">
        <f>M123+M126</f>
        <v>5852</v>
      </c>
      <c r="N131" s="29"/>
      <c r="O131" s="6"/>
    </row>
    <row r="132" spans="1:15" ht="15.75">
      <c r="A132" s="28"/>
      <c r="B132" s="29"/>
      <c r="C132" s="29"/>
      <c r="D132" s="29"/>
      <c r="E132" s="29"/>
      <c r="F132" s="29"/>
      <c r="G132" s="29"/>
      <c r="H132" s="29"/>
      <c r="I132" s="29"/>
      <c r="J132" s="29"/>
      <c r="K132" s="29"/>
      <c r="L132" s="29"/>
      <c r="M132" s="82"/>
      <c r="N132" s="29"/>
      <c r="O132" s="6"/>
    </row>
    <row r="133" spans="1:15" ht="15.75">
      <c r="A133" s="7"/>
      <c r="B133" s="158" t="s">
        <v>50</v>
      </c>
      <c r="C133" s="9"/>
      <c r="D133" s="9"/>
      <c r="E133" s="9"/>
      <c r="F133" s="9"/>
      <c r="G133" s="9"/>
      <c r="H133" s="9"/>
      <c r="I133" s="9"/>
      <c r="J133" s="9"/>
      <c r="K133" s="9"/>
      <c r="L133" s="9"/>
      <c r="M133" s="64"/>
      <c r="N133" s="9"/>
      <c r="O133" s="6"/>
    </row>
    <row r="134" spans="1:15" ht="15.75">
      <c r="A134" s="28"/>
      <c r="B134" s="29" t="s">
        <v>93</v>
      </c>
      <c r="C134" s="83"/>
      <c r="D134" s="83"/>
      <c r="E134" s="29"/>
      <c r="F134" s="29"/>
      <c r="G134" s="29"/>
      <c r="H134" s="29"/>
      <c r="I134" s="29"/>
      <c r="J134" s="29"/>
      <c r="K134" s="29"/>
      <c r="L134" s="29"/>
      <c r="M134" s="66">
        <v>2926</v>
      </c>
      <c r="N134" s="29"/>
      <c r="O134" s="6"/>
    </row>
    <row r="135" spans="1:15" ht="15.75">
      <c r="A135" s="28"/>
      <c r="B135" s="29" t="s">
        <v>94</v>
      </c>
      <c r="C135" s="29"/>
      <c r="D135" s="29"/>
      <c r="E135" s="29"/>
      <c r="F135" s="29"/>
      <c r="G135" s="29"/>
      <c r="H135" s="29"/>
      <c r="I135" s="29"/>
      <c r="J135" s="29"/>
      <c r="K135" s="29"/>
      <c r="L135" s="29"/>
      <c r="M135" s="66">
        <v>25</v>
      </c>
      <c r="N135" s="29"/>
      <c r="O135" s="6"/>
    </row>
    <row r="136" spans="1:15" ht="15.75">
      <c r="A136" s="28"/>
      <c r="B136" s="29" t="s">
        <v>95</v>
      </c>
      <c r="C136" s="29"/>
      <c r="D136" s="29"/>
      <c r="E136" s="29"/>
      <c r="F136" s="29"/>
      <c r="G136" s="29"/>
      <c r="H136" s="29"/>
      <c r="I136" s="29"/>
      <c r="J136" s="29"/>
      <c r="K136" s="29"/>
      <c r="L136" s="29"/>
      <c r="M136" s="66">
        <f>-M99</f>
        <v>2901</v>
      </c>
      <c r="N136" s="29"/>
      <c r="O136" s="6"/>
    </row>
    <row r="137" spans="1:15" ht="15.75">
      <c r="A137" s="28"/>
      <c r="B137" s="29" t="s">
        <v>96</v>
      </c>
      <c r="C137" s="29"/>
      <c r="D137" s="29"/>
      <c r="E137" s="29"/>
      <c r="F137" s="29"/>
      <c r="G137" s="29"/>
      <c r="H137" s="29"/>
      <c r="I137" s="29"/>
      <c r="J137" s="29"/>
      <c r="K137" s="29"/>
      <c r="L137" s="29"/>
      <c r="M137" s="66">
        <f>M134-M135-M136</f>
        <v>0</v>
      </c>
      <c r="N137" s="29"/>
      <c r="O137" s="6"/>
    </row>
    <row r="138" spans="1:15" ht="15.75">
      <c r="A138" s="28"/>
      <c r="B138" s="29"/>
      <c r="C138" s="29"/>
      <c r="D138" s="29"/>
      <c r="E138" s="29"/>
      <c r="F138" s="29"/>
      <c r="G138" s="29"/>
      <c r="H138" s="29"/>
      <c r="I138" s="29"/>
      <c r="J138" s="29"/>
      <c r="K138" s="29"/>
      <c r="L138" s="29"/>
      <c r="M138" s="84"/>
      <c r="N138" s="29"/>
      <c r="O138" s="6"/>
    </row>
    <row r="139" spans="1:15" ht="15.75">
      <c r="A139" s="7"/>
      <c r="B139" s="158" t="s">
        <v>97</v>
      </c>
      <c r="C139" s="15"/>
      <c r="D139" s="15"/>
      <c r="E139" s="9"/>
      <c r="F139" s="9"/>
      <c r="G139" s="17" t="s">
        <v>178</v>
      </c>
      <c r="H139" s="17"/>
      <c r="I139" s="17" t="s">
        <v>181</v>
      </c>
      <c r="J139" s="9"/>
      <c r="K139" s="9"/>
      <c r="L139" s="9"/>
      <c r="M139" s="85"/>
      <c r="N139" s="9"/>
      <c r="O139" s="6"/>
    </row>
    <row r="140" spans="1:15" ht="15.75">
      <c r="A140" s="7"/>
      <c r="B140" s="15"/>
      <c r="C140" s="15"/>
      <c r="D140" s="15"/>
      <c r="E140" s="9"/>
      <c r="F140" s="9"/>
      <c r="G140" s="9"/>
      <c r="H140" s="9"/>
      <c r="I140" s="9"/>
      <c r="J140" s="9"/>
      <c r="K140" s="9"/>
      <c r="L140" s="9"/>
      <c r="M140" s="85"/>
      <c r="N140" s="9"/>
      <c r="O140" s="6"/>
    </row>
    <row r="141" spans="1:15" ht="15.75">
      <c r="A141" s="28"/>
      <c r="B141" s="29" t="s">
        <v>98</v>
      </c>
      <c r="C141" s="29"/>
      <c r="D141" s="29"/>
      <c r="E141" s="29"/>
      <c r="F141" s="29"/>
      <c r="G141" s="29">
        <v>0</v>
      </c>
      <c r="H141" s="29"/>
      <c r="I141" s="29">
        <v>0</v>
      </c>
      <c r="J141" s="29"/>
      <c r="K141" s="29"/>
      <c r="L141" s="29"/>
      <c r="M141" s="66">
        <v>0</v>
      </c>
      <c r="N141" s="29"/>
      <c r="O141" s="6"/>
    </row>
    <row r="142" spans="1:15" ht="15.75">
      <c r="A142" s="28"/>
      <c r="B142" s="29" t="s">
        <v>99</v>
      </c>
      <c r="C142" s="29"/>
      <c r="D142" s="29"/>
      <c r="E142" s="29"/>
      <c r="F142" s="29"/>
      <c r="G142" s="29">
        <v>7</v>
      </c>
      <c r="H142" s="29"/>
      <c r="I142" s="29">
        <f>245+22</f>
        <v>267</v>
      </c>
      <c r="J142" s="29"/>
      <c r="K142" s="29"/>
      <c r="L142" s="29"/>
      <c r="M142" s="66">
        <f>SUM(G142:I142)</f>
        <v>274</v>
      </c>
      <c r="N142" s="29"/>
      <c r="O142" s="6"/>
    </row>
    <row r="143" spans="1:15" ht="15.75">
      <c r="A143" s="28"/>
      <c r="B143" s="29" t="s">
        <v>100</v>
      </c>
      <c r="C143" s="29"/>
      <c r="D143" s="29"/>
      <c r="E143" s="29"/>
      <c r="F143" s="29"/>
      <c r="G143" s="29"/>
      <c r="H143" s="29"/>
      <c r="I143" s="86"/>
      <c r="J143" s="29"/>
      <c r="K143" s="29"/>
      <c r="L143" s="29"/>
      <c r="M143" s="66">
        <f>M98</f>
        <v>-274</v>
      </c>
      <c r="N143" s="29"/>
      <c r="O143" s="6"/>
    </row>
    <row r="144" spans="1:15" ht="15.75">
      <c r="A144" s="28"/>
      <c r="B144" s="29" t="s">
        <v>101</v>
      </c>
      <c r="C144" s="29"/>
      <c r="D144" s="29"/>
      <c r="E144" s="29"/>
      <c r="F144" s="29"/>
      <c r="G144" s="29"/>
      <c r="H144" s="29"/>
      <c r="I144" s="29"/>
      <c r="J144" s="29"/>
      <c r="K144" s="29"/>
      <c r="L144" s="29"/>
      <c r="M144" s="66">
        <f>M143+M142</f>
        <v>0</v>
      </c>
      <c r="N144" s="29"/>
      <c r="O144" s="6"/>
    </row>
    <row r="145" spans="1:15" ht="15.75">
      <c r="A145" s="28"/>
      <c r="B145" s="29"/>
      <c r="C145" s="29"/>
      <c r="D145" s="29"/>
      <c r="E145" s="29"/>
      <c r="F145" s="29"/>
      <c r="G145" s="29"/>
      <c r="H145" s="29"/>
      <c r="I145" s="29"/>
      <c r="J145" s="29"/>
      <c r="K145" s="29"/>
      <c r="L145" s="29"/>
      <c r="M145" s="82"/>
      <c r="N145" s="29"/>
      <c r="O145" s="6"/>
    </row>
    <row r="146" spans="1:15" ht="15.75">
      <c r="A146" s="7"/>
      <c r="B146" s="9"/>
      <c r="C146" s="9"/>
      <c r="D146" s="9"/>
      <c r="E146" s="9"/>
      <c r="F146" s="9"/>
      <c r="G146" s="9"/>
      <c r="H146" s="9"/>
      <c r="I146" s="9"/>
      <c r="J146" s="9"/>
      <c r="K146" s="9"/>
      <c r="L146" s="9"/>
      <c r="M146" s="64"/>
      <c r="N146" s="9"/>
      <c r="O146" s="6"/>
    </row>
    <row r="147" spans="1:15" ht="15.75">
      <c r="A147" s="7"/>
      <c r="B147" s="158" t="s">
        <v>102</v>
      </c>
      <c r="C147" s="15"/>
      <c r="D147" s="15"/>
      <c r="E147" s="9"/>
      <c r="F147" s="9"/>
      <c r="G147" s="9"/>
      <c r="H147" s="9"/>
      <c r="I147" s="9"/>
      <c r="J147" s="9"/>
      <c r="K147" s="9"/>
      <c r="L147" s="9"/>
      <c r="M147" s="64"/>
      <c r="N147" s="9"/>
      <c r="O147" s="6"/>
    </row>
    <row r="148" spans="1:15" ht="15.75">
      <c r="A148" s="28"/>
      <c r="B148" s="29" t="s">
        <v>103</v>
      </c>
      <c r="C148" s="87"/>
      <c r="D148" s="87"/>
      <c r="E148" s="29"/>
      <c r="F148" s="29"/>
      <c r="G148" s="29"/>
      <c r="H148" s="29"/>
      <c r="I148" s="29"/>
      <c r="J148" s="29"/>
      <c r="K148" s="29"/>
      <c r="L148" s="29"/>
      <c r="M148" s="66">
        <f>M68+M61</f>
        <v>176302</v>
      </c>
      <c r="N148" s="29"/>
      <c r="O148" s="6"/>
    </row>
    <row r="149" spans="1:15" ht="15.75">
      <c r="A149" s="28"/>
      <c r="B149" s="29" t="s">
        <v>104</v>
      </c>
      <c r="C149" s="87"/>
      <c r="D149" s="87"/>
      <c r="E149" s="29"/>
      <c r="F149" s="29"/>
      <c r="G149" s="29"/>
      <c r="H149" s="29"/>
      <c r="I149" s="29"/>
      <c r="J149" s="29"/>
      <c r="K149" s="29"/>
      <c r="L149" s="29"/>
      <c r="M149" s="66">
        <f>M72</f>
        <v>18367</v>
      </c>
      <c r="N149" s="29"/>
      <c r="O149" s="6"/>
    </row>
    <row r="150" spans="1:15" ht="15.75">
      <c r="A150" s="28"/>
      <c r="B150" s="29" t="s">
        <v>50</v>
      </c>
      <c r="C150" s="87"/>
      <c r="D150" s="87"/>
      <c r="E150" s="29"/>
      <c r="F150" s="29"/>
      <c r="G150" s="29"/>
      <c r="H150" s="29"/>
      <c r="I150" s="29"/>
      <c r="J150" s="29"/>
      <c r="K150" s="29"/>
      <c r="L150" s="29"/>
      <c r="M150" s="66">
        <f>M71</f>
        <v>2926</v>
      </c>
      <c r="N150" s="29"/>
      <c r="O150" s="6"/>
    </row>
    <row r="151" spans="1:15" ht="15.75">
      <c r="A151" s="28"/>
      <c r="B151" s="29" t="s">
        <v>105</v>
      </c>
      <c r="C151" s="87"/>
      <c r="D151" s="87"/>
      <c r="E151" s="29"/>
      <c r="F151" s="29"/>
      <c r="G151" s="29"/>
      <c r="H151" s="29"/>
      <c r="I151" s="29"/>
      <c r="J151" s="29"/>
      <c r="K151" s="29"/>
      <c r="L151" s="29"/>
      <c r="M151" s="66">
        <f>M74</f>
        <v>-95</v>
      </c>
      <c r="N151" s="29"/>
      <c r="O151" s="6"/>
    </row>
    <row r="152" spans="1:15" ht="15.75">
      <c r="A152" s="28"/>
      <c r="B152" s="29" t="s">
        <v>106</v>
      </c>
      <c r="C152" s="87"/>
      <c r="D152" s="87"/>
      <c r="E152" s="29"/>
      <c r="F152" s="29"/>
      <c r="G152" s="29"/>
      <c r="H152" s="29"/>
      <c r="I152" s="29"/>
      <c r="J152" s="29"/>
      <c r="K152" s="29"/>
      <c r="L152" s="29"/>
      <c r="M152" s="66">
        <f>M73</f>
        <v>424</v>
      </c>
      <c r="N152" s="29"/>
      <c r="O152" s="6"/>
    </row>
    <row r="153" spans="1:15" ht="15.75">
      <c r="A153" s="28"/>
      <c r="B153" s="29" t="s">
        <v>107</v>
      </c>
      <c r="C153" s="87"/>
      <c r="D153" s="87"/>
      <c r="E153" s="29"/>
      <c r="F153" s="29"/>
      <c r="G153" s="29"/>
      <c r="H153" s="29"/>
      <c r="I153" s="29"/>
      <c r="J153" s="29"/>
      <c r="K153" s="29"/>
      <c r="L153" s="29"/>
      <c r="M153" s="66">
        <f>SUM(M148:M152)</f>
        <v>197924</v>
      </c>
      <c r="N153" s="29"/>
      <c r="O153" s="6"/>
    </row>
    <row r="154" spans="1:15" ht="15.75">
      <c r="A154" s="28"/>
      <c r="B154" s="29" t="s">
        <v>108</v>
      </c>
      <c r="C154" s="87"/>
      <c r="D154" s="87"/>
      <c r="E154" s="29"/>
      <c r="F154" s="29"/>
      <c r="G154" s="29"/>
      <c r="H154" s="29"/>
      <c r="I154" s="29"/>
      <c r="J154" s="29"/>
      <c r="K154" s="29"/>
      <c r="L154" s="29"/>
      <c r="M154" s="66">
        <f>M30</f>
        <v>194998</v>
      </c>
      <c r="N154" s="29"/>
      <c r="O154" s="6"/>
    </row>
    <row r="155" spans="1:15" ht="15.75">
      <c r="A155" s="28"/>
      <c r="B155" s="29"/>
      <c r="C155" s="29"/>
      <c r="D155" s="29"/>
      <c r="E155" s="29"/>
      <c r="F155" s="29"/>
      <c r="G155" s="29"/>
      <c r="H155" s="29"/>
      <c r="I155" s="29"/>
      <c r="J155" s="29"/>
      <c r="K155" s="29"/>
      <c r="L155" s="29"/>
      <c r="M155" s="82"/>
      <c r="N155" s="29"/>
      <c r="O155" s="6"/>
    </row>
    <row r="156" spans="1:15" ht="15.75">
      <c r="A156" s="7"/>
      <c r="B156" s="9"/>
      <c r="C156" s="9"/>
      <c r="D156" s="9"/>
      <c r="E156" s="9"/>
      <c r="F156" s="9"/>
      <c r="G156" s="9"/>
      <c r="H156" s="9"/>
      <c r="I156" s="25"/>
      <c r="J156" s="9"/>
      <c r="K156" s="25"/>
      <c r="L156" s="9"/>
      <c r="M156" s="64"/>
      <c r="N156" s="9"/>
      <c r="O156" s="6"/>
    </row>
    <row r="157" spans="1:15" ht="15.75">
      <c r="A157" s="7"/>
      <c r="B157" s="158" t="s">
        <v>109</v>
      </c>
      <c r="C157" s="144"/>
      <c r="D157" s="144"/>
      <c r="E157" s="144"/>
      <c r="F157" s="144"/>
      <c r="G157" s="144"/>
      <c r="H157" s="144"/>
      <c r="I157" s="159" t="s">
        <v>205</v>
      </c>
      <c r="J157" s="159"/>
      <c r="K157" s="159" t="s">
        <v>210</v>
      </c>
      <c r="L157" s="144"/>
      <c r="M157" s="160" t="s">
        <v>192</v>
      </c>
      <c r="N157" s="161"/>
      <c r="O157" s="6"/>
    </row>
    <row r="158" spans="1:15" ht="15.75">
      <c r="A158" s="28"/>
      <c r="B158" s="29" t="s">
        <v>110</v>
      </c>
      <c r="C158" s="29"/>
      <c r="D158" s="29"/>
      <c r="E158" s="29"/>
      <c r="F158" s="29"/>
      <c r="G158" s="29"/>
      <c r="H158" s="29"/>
      <c r="I158" s="66"/>
      <c r="J158" s="29"/>
      <c r="K158" s="53"/>
      <c r="L158" s="29"/>
      <c r="M158" s="66"/>
      <c r="N158" s="29"/>
      <c r="O158" s="6"/>
    </row>
    <row r="159" spans="1:15" ht="15.75">
      <c r="A159" s="28"/>
      <c r="B159" s="29" t="s">
        <v>111</v>
      </c>
      <c r="C159" s="29"/>
      <c r="D159" s="29"/>
      <c r="E159" s="29"/>
      <c r="F159" s="29"/>
      <c r="G159" s="29"/>
      <c r="H159" s="29"/>
      <c r="I159" s="66"/>
      <c r="J159" s="29"/>
      <c r="K159" s="29"/>
      <c r="L159" s="29"/>
      <c r="M159" s="66" t="s">
        <v>224</v>
      </c>
      <c r="N159" s="29"/>
      <c r="O159" s="6"/>
    </row>
    <row r="160" spans="1:15" ht="15.75">
      <c r="A160" s="28"/>
      <c r="B160" s="29" t="s">
        <v>112</v>
      </c>
      <c r="C160" s="29"/>
      <c r="D160" s="29"/>
      <c r="E160" s="29"/>
      <c r="F160" s="29"/>
      <c r="G160" s="29"/>
      <c r="H160" s="29"/>
      <c r="I160" s="66"/>
      <c r="J160" s="29"/>
      <c r="K160" s="29"/>
      <c r="L160" s="29"/>
      <c r="M160" s="66" t="s">
        <v>224</v>
      </c>
      <c r="N160" s="29"/>
      <c r="O160" s="6"/>
    </row>
    <row r="161" spans="1:15" ht="15.75">
      <c r="A161" s="28"/>
      <c r="B161" s="29" t="s">
        <v>113</v>
      </c>
      <c r="C161" s="29"/>
      <c r="D161" s="29"/>
      <c r="E161" s="29"/>
      <c r="F161" s="29"/>
      <c r="G161" s="29"/>
      <c r="H161" s="29"/>
      <c r="I161" s="66"/>
      <c r="J161" s="29"/>
      <c r="K161" s="66"/>
      <c r="L161" s="29"/>
      <c r="M161" s="66" t="s">
        <v>224</v>
      </c>
      <c r="N161" s="29"/>
      <c r="O161" s="6"/>
    </row>
    <row r="162" spans="1:15" ht="15.75">
      <c r="A162" s="28"/>
      <c r="B162" s="29" t="s">
        <v>114</v>
      </c>
      <c r="C162" s="29"/>
      <c r="D162" s="29"/>
      <c r="E162" s="29"/>
      <c r="F162" s="29"/>
      <c r="G162" s="29"/>
      <c r="H162" s="29"/>
      <c r="I162" s="66"/>
      <c r="J162" s="29"/>
      <c r="K162" s="53"/>
      <c r="L162" s="29"/>
      <c r="M162" s="66"/>
      <c r="N162" s="29"/>
      <c r="O162" s="6"/>
    </row>
    <row r="163" spans="1:15" ht="15.75">
      <c r="A163" s="28"/>
      <c r="B163" s="29"/>
      <c r="C163" s="29"/>
      <c r="D163" s="29"/>
      <c r="E163" s="29"/>
      <c r="F163" s="29"/>
      <c r="G163" s="29"/>
      <c r="H163" s="29"/>
      <c r="I163" s="29"/>
      <c r="J163" s="29"/>
      <c r="K163" s="29"/>
      <c r="L163" s="29"/>
      <c r="M163" s="82"/>
      <c r="N163" s="29"/>
      <c r="O163" s="6"/>
    </row>
    <row r="164" spans="1:15" ht="15.75">
      <c r="A164" s="7"/>
      <c r="B164" s="9"/>
      <c r="C164" s="9"/>
      <c r="D164" s="9"/>
      <c r="E164" s="9"/>
      <c r="F164" s="9"/>
      <c r="G164" s="9"/>
      <c r="H164" s="9"/>
      <c r="I164" s="9"/>
      <c r="J164" s="9"/>
      <c r="K164" s="9"/>
      <c r="L164" s="9"/>
      <c r="M164" s="64"/>
      <c r="N164" s="9"/>
      <c r="O164" s="6"/>
    </row>
    <row r="165" spans="1:15" ht="15.75">
      <c r="A165" s="7"/>
      <c r="B165" s="158" t="s">
        <v>115</v>
      </c>
      <c r="C165" s="15"/>
      <c r="D165" s="15"/>
      <c r="E165" s="9"/>
      <c r="F165" s="9"/>
      <c r="G165" s="9"/>
      <c r="H165" s="9"/>
      <c r="I165" s="9"/>
      <c r="J165" s="9"/>
      <c r="K165" s="9"/>
      <c r="L165" s="9"/>
      <c r="M165" s="88"/>
      <c r="N165" s="9"/>
      <c r="O165" s="6"/>
    </row>
    <row r="166" spans="1:15" ht="15.75">
      <c r="A166" s="28"/>
      <c r="B166" s="29" t="s">
        <v>116</v>
      </c>
      <c r="C166" s="29"/>
      <c r="D166" s="29"/>
      <c r="E166" s="29"/>
      <c r="F166" s="29"/>
      <c r="G166" s="29"/>
      <c r="H166" s="29"/>
      <c r="I166" s="29"/>
      <c r="J166" s="29"/>
      <c r="K166" s="29"/>
      <c r="L166" s="29"/>
      <c r="M166" s="73">
        <f>(M88+M90+M91+M93)/-M92</f>
        <v>2.4523149980213694</v>
      </c>
      <c r="N166" s="29" t="s">
        <v>225</v>
      </c>
      <c r="O166" s="6"/>
    </row>
    <row r="167" spans="1:15" ht="15.75">
      <c r="A167" s="28"/>
      <c r="B167" s="29" t="s">
        <v>117</v>
      </c>
      <c r="C167" s="29"/>
      <c r="D167" s="29"/>
      <c r="E167" s="29"/>
      <c r="F167" s="29"/>
      <c r="G167" s="29"/>
      <c r="H167" s="29"/>
      <c r="I167" s="29"/>
      <c r="J167" s="29"/>
      <c r="K167" s="29"/>
      <c r="L167" s="29"/>
      <c r="M167" s="89">
        <v>1.85</v>
      </c>
      <c r="N167" s="29" t="s">
        <v>225</v>
      </c>
      <c r="O167" s="6"/>
    </row>
    <row r="168" spans="1:15" ht="15.75">
      <c r="A168" s="28"/>
      <c r="B168" s="29" t="s">
        <v>118</v>
      </c>
      <c r="C168" s="29"/>
      <c r="D168" s="29"/>
      <c r="E168" s="29"/>
      <c r="F168" s="29"/>
      <c r="G168" s="29"/>
      <c r="H168" s="29"/>
      <c r="I168" s="29"/>
      <c r="J168" s="29"/>
      <c r="K168" s="29"/>
      <c r="L168" s="29"/>
      <c r="M168" s="73">
        <f>(M88+M90+M91+M92+M93+M94)/-M95</f>
        <v>13.785714285714286</v>
      </c>
      <c r="N168" s="29" t="s">
        <v>225</v>
      </c>
      <c r="O168" s="6"/>
    </row>
    <row r="169" spans="1:15" ht="15.75">
      <c r="A169" s="28"/>
      <c r="B169" s="29" t="s">
        <v>119</v>
      </c>
      <c r="C169" s="29"/>
      <c r="D169" s="29"/>
      <c r="E169" s="29"/>
      <c r="F169" s="29"/>
      <c r="G169" s="29"/>
      <c r="H169" s="29"/>
      <c r="I169" s="29"/>
      <c r="J169" s="29"/>
      <c r="K169" s="29"/>
      <c r="L169" s="29"/>
      <c r="M169" s="90">
        <v>8.11</v>
      </c>
      <c r="N169" s="29" t="s">
        <v>225</v>
      </c>
      <c r="O169" s="6"/>
    </row>
    <row r="170" spans="1:15" ht="15.75">
      <c r="A170" s="28"/>
      <c r="B170" s="29" t="s">
        <v>120</v>
      </c>
      <c r="C170" s="29"/>
      <c r="D170" s="29"/>
      <c r="E170" s="29"/>
      <c r="F170" s="29"/>
      <c r="G170" s="29"/>
      <c r="H170" s="29"/>
      <c r="I170" s="29"/>
      <c r="J170" s="29"/>
      <c r="K170" s="29"/>
      <c r="L170" s="29"/>
      <c r="M170" s="73">
        <f>(M88+M90+M91+M92+M93+M94+M95)/-M96</f>
        <v>18.894444444444446</v>
      </c>
      <c r="N170" s="29" t="s">
        <v>225</v>
      </c>
      <c r="O170" s="6"/>
    </row>
    <row r="171" spans="1:15" ht="15.75">
      <c r="A171" s="28"/>
      <c r="B171" s="29" t="s">
        <v>121</v>
      </c>
      <c r="C171" s="29"/>
      <c r="D171" s="29"/>
      <c r="E171" s="29"/>
      <c r="F171" s="29"/>
      <c r="G171" s="29"/>
      <c r="H171" s="29"/>
      <c r="I171" s="29"/>
      <c r="J171" s="29"/>
      <c r="K171" s="29"/>
      <c r="L171" s="29"/>
      <c r="M171" s="89">
        <v>10.54</v>
      </c>
      <c r="N171" s="29" t="s">
        <v>225</v>
      </c>
      <c r="O171" s="6"/>
    </row>
    <row r="172" spans="1:15" ht="15.75">
      <c r="A172" s="28"/>
      <c r="B172" s="29"/>
      <c r="C172" s="29"/>
      <c r="D172" s="29"/>
      <c r="E172" s="29"/>
      <c r="F172" s="29"/>
      <c r="G172" s="29"/>
      <c r="H172" s="29"/>
      <c r="I172" s="29"/>
      <c r="J172" s="29"/>
      <c r="K172" s="29"/>
      <c r="L172" s="29"/>
      <c r="M172" s="29"/>
      <c r="N172" s="29"/>
      <c r="O172" s="6"/>
    </row>
    <row r="173" spans="1:15" ht="15.75">
      <c r="A173" s="7"/>
      <c r="B173" s="9"/>
      <c r="C173" s="9"/>
      <c r="D173" s="9"/>
      <c r="E173" s="9"/>
      <c r="F173" s="9"/>
      <c r="G173" s="9"/>
      <c r="H173" s="9"/>
      <c r="I173" s="9"/>
      <c r="J173" s="9"/>
      <c r="K173" s="9"/>
      <c r="L173" s="9"/>
      <c r="M173" s="9"/>
      <c r="N173" s="9"/>
      <c r="O173" s="6"/>
    </row>
    <row r="174" spans="1:15" ht="16.5" thickBot="1">
      <c r="A174" s="134"/>
      <c r="B174" s="135" t="s">
        <v>226</v>
      </c>
      <c r="C174" s="136"/>
      <c r="D174" s="136"/>
      <c r="E174" s="136"/>
      <c r="F174" s="136"/>
      <c r="G174" s="136"/>
      <c r="H174" s="136"/>
      <c r="I174" s="136"/>
      <c r="J174" s="136"/>
      <c r="K174" s="136"/>
      <c r="L174" s="136"/>
      <c r="M174" s="136"/>
      <c r="N174" s="138"/>
      <c r="O174" s="6"/>
    </row>
    <row r="175" spans="1:15" ht="15.75">
      <c r="A175" s="2"/>
      <c r="B175" s="91"/>
      <c r="C175" s="91"/>
      <c r="D175" s="91"/>
      <c r="E175" s="91"/>
      <c r="F175" s="91"/>
      <c r="G175" s="91"/>
      <c r="H175" s="91"/>
      <c r="I175" s="91"/>
      <c r="J175" s="91"/>
      <c r="K175" s="91"/>
      <c r="L175" s="91"/>
      <c r="M175" s="91"/>
      <c r="N175" s="91"/>
      <c r="O175" s="6"/>
    </row>
    <row r="176" spans="1:15" ht="15.75">
      <c r="A176" s="92"/>
      <c r="B176" s="63" t="s">
        <v>122</v>
      </c>
      <c r="C176" s="93"/>
      <c r="D176" s="93"/>
      <c r="E176" s="93" t="s">
        <v>178</v>
      </c>
      <c r="F176" s="93"/>
      <c r="G176" s="94" t="s">
        <v>181</v>
      </c>
      <c r="H176" s="94"/>
      <c r="I176" s="94"/>
      <c r="J176" s="22"/>
      <c r="K176" s="22">
        <v>37011</v>
      </c>
      <c r="L176" s="18"/>
      <c r="M176" s="18"/>
      <c r="N176" s="9"/>
      <c r="O176" s="6"/>
    </row>
    <row r="177" spans="1:15" ht="15.75">
      <c r="A177" s="95"/>
      <c r="B177" s="74" t="s">
        <v>123</v>
      </c>
      <c r="C177" s="96"/>
      <c r="D177" s="96"/>
      <c r="E177" s="97">
        <v>0.12505</v>
      </c>
      <c r="F177" s="96"/>
      <c r="G177" s="97">
        <v>0.13752</v>
      </c>
      <c r="H177" s="86"/>
      <c r="I177" s="86"/>
      <c r="J177" s="86"/>
      <c r="K177" s="97">
        <v>0.13157</v>
      </c>
      <c r="L177" s="29"/>
      <c r="M177" s="29"/>
      <c r="N177" s="29"/>
      <c r="O177" s="6"/>
    </row>
    <row r="178" spans="1:15" ht="15.75">
      <c r="A178" s="95"/>
      <c r="B178" s="74" t="s">
        <v>124</v>
      </c>
      <c r="C178" s="96"/>
      <c r="D178" s="96"/>
      <c r="E178" s="97"/>
      <c r="F178" s="96"/>
      <c r="G178" s="97"/>
      <c r="H178" s="86"/>
      <c r="I178" s="86"/>
      <c r="J178" s="86"/>
      <c r="K178" s="97">
        <v>0.0654</v>
      </c>
      <c r="L178" s="97"/>
      <c r="M178" s="29"/>
      <c r="N178" s="29"/>
      <c r="O178" s="6"/>
    </row>
    <row r="179" spans="1:15" ht="15.75">
      <c r="A179" s="95"/>
      <c r="B179" s="74" t="s">
        <v>125</v>
      </c>
      <c r="C179" s="96"/>
      <c r="D179" s="96"/>
      <c r="E179" s="96"/>
      <c r="F179" s="96"/>
      <c r="G179" s="96"/>
      <c r="H179" s="86"/>
      <c r="I179" s="86"/>
      <c r="J179" s="86"/>
      <c r="K179" s="97">
        <f>K177-K178</f>
        <v>0.06616999999999999</v>
      </c>
      <c r="L179" s="29"/>
      <c r="M179" s="29"/>
      <c r="N179" s="29"/>
      <c r="O179" s="6"/>
    </row>
    <row r="180" spans="1:15" ht="15.75">
      <c r="A180" s="95"/>
      <c r="B180" s="74" t="s">
        <v>126</v>
      </c>
      <c r="C180" s="96"/>
      <c r="D180" s="96"/>
      <c r="E180" s="98">
        <v>0.12351</v>
      </c>
      <c r="F180" s="98"/>
      <c r="G180" s="98">
        <v>0.13336</v>
      </c>
      <c r="H180" s="86"/>
      <c r="I180" s="86"/>
      <c r="J180" s="86"/>
      <c r="K180" s="97">
        <v>0.12864</v>
      </c>
      <c r="L180" s="29"/>
      <c r="M180" s="29"/>
      <c r="N180" s="29"/>
      <c r="O180" s="6"/>
    </row>
    <row r="181" spans="1:15" ht="15.75">
      <c r="A181" s="95"/>
      <c r="B181" s="74" t="s">
        <v>127</v>
      </c>
      <c r="C181" s="96"/>
      <c r="D181" s="96"/>
      <c r="E181" s="96"/>
      <c r="F181" s="96"/>
      <c r="G181" s="96"/>
      <c r="H181" s="86"/>
      <c r="I181" s="86"/>
      <c r="J181" s="86"/>
      <c r="K181" s="97">
        <f>M32</f>
        <v>0.06251136998841013</v>
      </c>
      <c r="L181" s="29"/>
      <c r="M181" s="29"/>
      <c r="N181" s="29"/>
      <c r="O181" s="6"/>
    </row>
    <row r="182" spans="1:15" ht="15.75">
      <c r="A182" s="95"/>
      <c r="B182" s="74" t="s">
        <v>128</v>
      </c>
      <c r="C182" s="96"/>
      <c r="D182" s="96"/>
      <c r="E182" s="96"/>
      <c r="F182" s="96"/>
      <c r="G182" s="96"/>
      <c r="H182" s="86"/>
      <c r="I182" s="86"/>
      <c r="J182" s="86"/>
      <c r="K182" s="97">
        <f>K180-K181</f>
        <v>0.06612863001158988</v>
      </c>
      <c r="L182" s="29"/>
      <c r="M182" s="29"/>
      <c r="N182" s="29"/>
      <c r="O182" s="6"/>
    </row>
    <row r="183" spans="1:15" ht="15.75">
      <c r="A183" s="95"/>
      <c r="B183" s="74" t="s">
        <v>129</v>
      </c>
      <c r="C183" s="96"/>
      <c r="D183" s="96"/>
      <c r="E183" s="96"/>
      <c r="F183" s="96"/>
      <c r="G183" s="96"/>
      <c r="H183" s="86"/>
      <c r="I183" s="86"/>
      <c r="J183" s="86"/>
      <c r="K183" s="97" t="s">
        <v>211</v>
      </c>
      <c r="L183" s="29"/>
      <c r="M183" s="29"/>
      <c r="N183" s="29"/>
      <c r="O183" s="6"/>
    </row>
    <row r="184" spans="1:15" ht="15.75">
      <c r="A184" s="95"/>
      <c r="B184" s="74" t="s">
        <v>130</v>
      </c>
      <c r="C184" s="96"/>
      <c r="D184" s="96"/>
      <c r="E184" s="96"/>
      <c r="F184" s="96"/>
      <c r="G184" s="96"/>
      <c r="H184" s="86"/>
      <c r="I184" s="86"/>
      <c r="J184" s="86"/>
      <c r="K184" s="97" t="s">
        <v>212</v>
      </c>
      <c r="L184" s="29"/>
      <c r="M184" s="29"/>
      <c r="N184" s="29"/>
      <c r="O184" s="6"/>
    </row>
    <row r="185" spans="1:15" ht="15.75">
      <c r="A185" s="95"/>
      <c r="B185" s="74" t="s">
        <v>131</v>
      </c>
      <c r="C185" s="96"/>
      <c r="D185" s="96"/>
      <c r="E185" s="99">
        <v>9.94</v>
      </c>
      <c r="F185" s="96"/>
      <c r="G185" s="99">
        <v>3.91</v>
      </c>
      <c r="H185" s="86"/>
      <c r="I185" s="86"/>
      <c r="J185" s="86"/>
      <c r="K185" s="100">
        <v>6.791</v>
      </c>
      <c r="L185" s="29"/>
      <c r="M185" s="29"/>
      <c r="N185" s="29"/>
      <c r="O185" s="6"/>
    </row>
    <row r="186" spans="1:15" ht="15.75">
      <c r="A186" s="95"/>
      <c r="B186" s="74" t="s">
        <v>132</v>
      </c>
      <c r="C186" s="96"/>
      <c r="D186" s="96"/>
      <c r="E186" s="101">
        <v>9.936</v>
      </c>
      <c r="F186" s="99"/>
      <c r="G186" s="99">
        <v>3.63</v>
      </c>
      <c r="H186" s="86"/>
      <c r="I186" s="86"/>
      <c r="J186" s="86"/>
      <c r="K186" s="100">
        <v>6.648</v>
      </c>
      <c r="L186" s="29"/>
      <c r="M186" s="29"/>
      <c r="N186" s="29"/>
      <c r="O186" s="6"/>
    </row>
    <row r="187" spans="1:15" ht="15.75">
      <c r="A187" s="95"/>
      <c r="B187" s="74" t="s">
        <v>133</v>
      </c>
      <c r="C187" s="96"/>
      <c r="D187" s="96"/>
      <c r="E187" s="96"/>
      <c r="F187" s="96"/>
      <c r="G187" s="96"/>
      <c r="H187" s="86"/>
      <c r="I187" s="86"/>
      <c r="J187" s="86"/>
      <c r="K187" s="97">
        <f>G88/SUM(E61:E65)</f>
        <v>0.1163639408550754</v>
      </c>
      <c r="L187" s="29"/>
      <c r="M187" s="29"/>
      <c r="N187" s="29"/>
      <c r="O187" s="6"/>
    </row>
    <row r="188" spans="1:15" ht="15.75">
      <c r="A188" s="95"/>
      <c r="B188" s="74"/>
      <c r="C188" s="74"/>
      <c r="D188" s="74"/>
      <c r="E188" s="74"/>
      <c r="F188" s="74"/>
      <c r="G188" s="74"/>
      <c r="H188" s="29"/>
      <c r="I188" s="29"/>
      <c r="J188" s="37"/>
      <c r="K188" s="102"/>
      <c r="L188" s="29"/>
      <c r="M188" s="103"/>
      <c r="N188" s="29"/>
      <c r="O188" s="6"/>
    </row>
    <row r="189" spans="1:15" ht="15.75">
      <c r="A189" s="104"/>
      <c r="B189" s="17" t="s">
        <v>134</v>
      </c>
      <c r="C189" s="20"/>
      <c r="D189" s="20"/>
      <c r="E189" s="105"/>
      <c r="F189" s="20"/>
      <c r="G189" s="105"/>
      <c r="H189" s="20"/>
      <c r="I189" s="105"/>
      <c r="J189" s="20" t="s">
        <v>206</v>
      </c>
      <c r="K189" s="105" t="s">
        <v>213</v>
      </c>
      <c r="L189" s="18"/>
      <c r="M189" s="18"/>
      <c r="N189" s="9"/>
      <c r="O189" s="6"/>
    </row>
    <row r="190" spans="1:15" ht="15.75">
      <c r="A190" s="106"/>
      <c r="B190" s="74" t="s">
        <v>135</v>
      </c>
      <c r="C190" s="67"/>
      <c r="D190" s="67"/>
      <c r="E190" s="67"/>
      <c r="F190" s="67"/>
      <c r="G190" s="29"/>
      <c r="H190" s="29"/>
      <c r="I190" s="29"/>
      <c r="J190" s="29">
        <v>51</v>
      </c>
      <c r="K190" s="66">
        <v>328</v>
      </c>
      <c r="L190" s="66"/>
      <c r="M190" s="103"/>
      <c r="N190" s="107"/>
      <c r="O190" s="6"/>
    </row>
    <row r="191" spans="1:15" ht="15.75">
      <c r="A191" s="106"/>
      <c r="B191" s="74" t="s">
        <v>136</v>
      </c>
      <c r="C191" s="67"/>
      <c r="D191" s="67"/>
      <c r="E191" s="67"/>
      <c r="F191" s="67"/>
      <c r="G191" s="29"/>
      <c r="H191" s="29"/>
      <c r="I191" s="29"/>
      <c r="J191" s="29">
        <v>9</v>
      </c>
      <c r="K191" s="66">
        <v>73</v>
      </c>
      <c r="L191" s="66"/>
      <c r="M191" s="103"/>
      <c r="N191" s="107"/>
      <c r="O191" s="6"/>
    </row>
    <row r="192" spans="1:15" ht="15.75">
      <c r="A192" s="106"/>
      <c r="B192" s="74"/>
      <c r="C192" s="67"/>
      <c r="D192" s="67"/>
      <c r="E192" s="67"/>
      <c r="F192" s="67"/>
      <c r="G192" s="29"/>
      <c r="H192" s="29"/>
      <c r="I192" s="29"/>
      <c r="J192" s="29"/>
      <c r="K192" s="66"/>
      <c r="L192" s="66"/>
      <c r="M192" s="103"/>
      <c r="N192" s="107"/>
      <c r="O192" s="6"/>
    </row>
    <row r="193" spans="1:15" ht="15.75">
      <c r="A193" s="106"/>
      <c r="B193" s="74" t="s">
        <v>137</v>
      </c>
      <c r="C193" s="67"/>
      <c r="D193" s="67"/>
      <c r="E193" s="67"/>
      <c r="F193" s="67"/>
      <c r="G193" s="29"/>
      <c r="H193" s="29"/>
      <c r="I193" s="29"/>
      <c r="J193" s="29">
        <v>44</v>
      </c>
      <c r="K193" s="66">
        <v>496</v>
      </c>
      <c r="L193" s="66"/>
      <c r="M193" s="103"/>
      <c r="N193" s="107"/>
      <c r="O193" s="6"/>
    </row>
    <row r="194" spans="1:15" ht="15.75">
      <c r="A194" s="106"/>
      <c r="B194" s="74" t="s">
        <v>138</v>
      </c>
      <c r="C194" s="67"/>
      <c r="D194" s="67"/>
      <c r="E194" s="67"/>
      <c r="F194" s="67"/>
      <c r="G194" s="29"/>
      <c r="H194" s="29"/>
      <c r="I194" s="29"/>
      <c r="J194" s="29">
        <v>0</v>
      </c>
      <c r="K194" s="66">
        <v>0</v>
      </c>
      <c r="L194" s="66"/>
      <c r="M194" s="103"/>
      <c r="N194" s="107"/>
      <c r="O194" s="6"/>
    </row>
    <row r="195" spans="1:15" ht="15.75">
      <c r="A195" s="106"/>
      <c r="B195" s="74"/>
      <c r="C195" s="67"/>
      <c r="D195" s="67"/>
      <c r="E195" s="67"/>
      <c r="F195" s="67"/>
      <c r="G195" s="29"/>
      <c r="H195" s="29"/>
      <c r="I195" s="29"/>
      <c r="J195" s="29"/>
      <c r="K195" s="66"/>
      <c r="L195" s="66"/>
      <c r="M195" s="103"/>
      <c r="N195" s="107"/>
      <c r="O195" s="6"/>
    </row>
    <row r="196" spans="1:15" ht="15.75">
      <c r="A196" s="106"/>
      <c r="B196" s="162" t="s">
        <v>139</v>
      </c>
      <c r="C196" s="67"/>
      <c r="D196" s="67"/>
      <c r="E196" s="67"/>
      <c r="F196" s="67"/>
      <c r="G196" s="29"/>
      <c r="H196" s="29"/>
      <c r="I196" s="29"/>
      <c r="J196" s="29"/>
      <c r="K196" s="73" t="s">
        <v>214</v>
      </c>
      <c r="L196" s="29"/>
      <c r="M196" s="103"/>
      <c r="N196" s="107"/>
      <c r="O196" s="6"/>
    </row>
    <row r="197" spans="1:15" ht="15.75">
      <c r="A197" s="106"/>
      <c r="B197" s="162" t="s">
        <v>140</v>
      </c>
      <c r="C197" s="67"/>
      <c r="D197" s="67"/>
      <c r="E197" s="67"/>
      <c r="F197" s="67"/>
      <c r="G197" s="29"/>
      <c r="H197" s="29"/>
      <c r="I197" s="29"/>
      <c r="J197" s="29"/>
      <c r="K197" s="66">
        <f>-I72</f>
        <v>49943</v>
      </c>
      <c r="L197" s="29"/>
      <c r="M197" s="103"/>
      <c r="N197" s="107"/>
      <c r="O197" s="6"/>
    </row>
    <row r="198" spans="1:15" ht="15.75">
      <c r="A198" s="108"/>
      <c r="B198" s="162" t="s">
        <v>141</v>
      </c>
      <c r="C198" s="67"/>
      <c r="D198" s="67"/>
      <c r="E198" s="74"/>
      <c r="F198" s="74"/>
      <c r="G198" s="74"/>
      <c r="H198" s="29"/>
      <c r="I198" s="29"/>
      <c r="J198" s="29"/>
      <c r="K198" s="73"/>
      <c r="L198" s="29"/>
      <c r="M198" s="103"/>
      <c r="N198" s="109"/>
      <c r="O198" s="6"/>
    </row>
    <row r="199" spans="1:15" ht="15.75">
      <c r="A199" s="108"/>
      <c r="B199" s="74" t="s">
        <v>142</v>
      </c>
      <c r="C199" s="67"/>
      <c r="D199" s="67"/>
      <c r="E199" s="74"/>
      <c r="F199" s="74"/>
      <c r="G199" s="74"/>
      <c r="H199" s="29"/>
      <c r="I199" s="29"/>
      <c r="J199" s="29"/>
      <c r="K199" s="89">
        <v>267</v>
      </c>
      <c r="L199" s="29"/>
      <c r="M199" s="103"/>
      <c r="N199" s="109"/>
      <c r="O199" s="6"/>
    </row>
    <row r="200" spans="1:15" ht="15.75">
      <c r="A200" s="108"/>
      <c r="B200" s="74" t="s">
        <v>143</v>
      </c>
      <c r="C200" s="67"/>
      <c r="D200" s="67"/>
      <c r="E200" s="74"/>
      <c r="F200" s="74"/>
      <c r="G200" s="74"/>
      <c r="H200" s="29"/>
      <c r="I200" s="29"/>
      <c r="J200" s="29"/>
      <c r="K200" s="89">
        <v>399</v>
      </c>
      <c r="L200" s="29"/>
      <c r="M200" s="103"/>
      <c r="N200" s="109"/>
      <c r="O200" s="6"/>
    </row>
    <row r="201" spans="1:15" ht="15.75">
      <c r="A201" s="108"/>
      <c r="B201" s="74" t="s">
        <v>144</v>
      </c>
      <c r="C201" s="67"/>
      <c r="D201" s="67"/>
      <c r="E201" s="74"/>
      <c r="F201" s="74"/>
      <c r="G201" s="74"/>
      <c r="H201" s="29"/>
      <c r="I201" s="29"/>
      <c r="J201" s="29"/>
      <c r="K201" s="89">
        <v>39</v>
      </c>
      <c r="L201" s="29"/>
      <c r="M201" s="103"/>
      <c r="N201" s="109"/>
      <c r="O201" s="6"/>
    </row>
    <row r="202" spans="1:15" ht="15.75">
      <c r="A202" s="108"/>
      <c r="B202" s="74"/>
      <c r="C202" s="67"/>
      <c r="D202" s="67"/>
      <c r="E202" s="74"/>
      <c r="F202" s="74"/>
      <c r="G202" s="74"/>
      <c r="H202" s="29"/>
      <c r="I202" s="29"/>
      <c r="J202" s="29"/>
      <c r="K202" s="89"/>
      <c r="L202" s="29"/>
      <c r="M202" s="103"/>
      <c r="N202" s="109"/>
      <c r="O202" s="6"/>
    </row>
    <row r="203" spans="1:15" ht="15.75">
      <c r="A203" s="106"/>
      <c r="B203" s="74" t="s">
        <v>145</v>
      </c>
      <c r="C203" s="67"/>
      <c r="D203" s="67"/>
      <c r="E203" s="67"/>
      <c r="F203" s="67"/>
      <c r="G203" s="67"/>
      <c r="H203" s="29"/>
      <c r="I203" s="29"/>
      <c r="J203" s="29"/>
      <c r="K203" s="66">
        <v>7</v>
      </c>
      <c r="L203" s="29"/>
      <c r="M203" s="103"/>
      <c r="N203" s="109"/>
      <c r="O203" s="6"/>
    </row>
    <row r="204" spans="1:15" ht="15.75">
      <c r="A204" s="106"/>
      <c r="B204" s="74" t="s">
        <v>146</v>
      </c>
      <c r="C204" s="67"/>
      <c r="D204" s="67"/>
      <c r="E204" s="67"/>
      <c r="F204" s="67"/>
      <c r="G204" s="67"/>
      <c r="H204" s="29"/>
      <c r="I204" s="29"/>
      <c r="J204" s="29"/>
      <c r="K204" s="66">
        <v>25</v>
      </c>
      <c r="L204" s="29"/>
      <c r="M204" s="103"/>
      <c r="N204" s="109"/>
      <c r="O204" s="6"/>
    </row>
    <row r="205" spans="1:15" ht="15.75">
      <c r="A205" s="106"/>
      <c r="B205" s="74" t="s">
        <v>144</v>
      </c>
      <c r="C205" s="67"/>
      <c r="D205" s="67"/>
      <c r="E205" s="67"/>
      <c r="F205" s="67"/>
      <c r="G205" s="67"/>
      <c r="H205" s="29"/>
      <c r="I205" s="29"/>
      <c r="J205" s="29"/>
      <c r="K205" s="66"/>
      <c r="L205" s="29"/>
      <c r="M205" s="103"/>
      <c r="N205" s="109"/>
      <c r="O205" s="6"/>
    </row>
    <row r="206" spans="1:15" ht="15.75">
      <c r="A206" s="106"/>
      <c r="B206" s="74"/>
      <c r="C206" s="67"/>
      <c r="D206" s="67"/>
      <c r="E206" s="67"/>
      <c r="F206" s="67"/>
      <c r="G206" s="67"/>
      <c r="H206" s="29"/>
      <c r="I206" s="29"/>
      <c r="J206" s="29"/>
      <c r="K206" s="66"/>
      <c r="L206" s="29"/>
      <c r="M206" s="103"/>
      <c r="N206" s="109"/>
      <c r="O206" s="6"/>
    </row>
    <row r="207" spans="1:15" ht="15.75">
      <c r="A207" s="108"/>
      <c r="B207" s="162" t="s">
        <v>147</v>
      </c>
      <c r="C207" s="67"/>
      <c r="D207" s="67"/>
      <c r="E207" s="74"/>
      <c r="F207" s="74"/>
      <c r="G207" s="74"/>
      <c r="H207" s="29"/>
      <c r="I207" s="29"/>
      <c r="J207" s="29"/>
      <c r="K207" s="110"/>
      <c r="L207" s="29"/>
      <c r="M207" s="103"/>
      <c r="N207" s="109"/>
      <c r="O207" s="6"/>
    </row>
    <row r="208" spans="1:15" ht="15.75">
      <c r="A208" s="108"/>
      <c r="B208" s="74" t="s">
        <v>148</v>
      </c>
      <c r="C208" s="67"/>
      <c r="D208" s="67"/>
      <c r="E208" s="74"/>
      <c r="F208" s="74"/>
      <c r="G208" s="74"/>
      <c r="H208" s="29"/>
      <c r="I208" s="29"/>
      <c r="J208" s="29"/>
      <c r="K208" s="110">
        <v>0</v>
      </c>
      <c r="L208" s="29"/>
      <c r="M208" s="103"/>
      <c r="N208" s="109"/>
      <c r="O208" s="6"/>
    </row>
    <row r="209" spans="1:15" ht="15.75">
      <c r="A209" s="106"/>
      <c r="B209" s="74" t="s">
        <v>149</v>
      </c>
      <c r="C209" s="67"/>
      <c r="D209" s="67"/>
      <c r="E209" s="111"/>
      <c r="F209" s="111"/>
      <c r="G209" s="112"/>
      <c r="H209" s="29"/>
      <c r="I209" s="29"/>
      <c r="J209" s="29"/>
      <c r="K209" s="110">
        <v>0</v>
      </c>
      <c r="L209" s="29"/>
      <c r="M209" s="103"/>
      <c r="N209" s="109"/>
      <c r="O209" s="6"/>
    </row>
    <row r="210" spans="1:15" ht="15.75">
      <c r="A210" s="106"/>
      <c r="B210" s="74" t="s">
        <v>150</v>
      </c>
      <c r="C210" s="67"/>
      <c r="D210" s="67"/>
      <c r="E210" s="111"/>
      <c r="F210" s="111"/>
      <c r="G210" s="112"/>
      <c r="H210" s="29"/>
      <c r="I210" s="29"/>
      <c r="J210" s="29"/>
      <c r="K210" s="110">
        <v>0</v>
      </c>
      <c r="L210" s="29"/>
      <c r="M210" s="103"/>
      <c r="N210" s="109"/>
      <c r="O210" s="6"/>
    </row>
    <row r="211" spans="1:15" ht="15.75">
      <c r="A211" s="106"/>
      <c r="B211" s="74" t="s">
        <v>151</v>
      </c>
      <c r="C211" s="67"/>
      <c r="D211" s="67"/>
      <c r="E211" s="113"/>
      <c r="F211" s="111"/>
      <c r="G211" s="112"/>
      <c r="H211" s="29"/>
      <c r="I211" s="29"/>
      <c r="J211" s="29"/>
      <c r="K211" s="110">
        <v>0</v>
      </c>
      <c r="L211" s="29"/>
      <c r="M211" s="103"/>
      <c r="N211" s="109"/>
      <c r="O211" s="6"/>
    </row>
    <row r="212" spans="1:15" ht="15.75">
      <c r="A212" s="106"/>
      <c r="B212" s="74"/>
      <c r="C212" s="67"/>
      <c r="D212" s="67"/>
      <c r="E212" s="113"/>
      <c r="F212" s="111"/>
      <c r="G212" s="112"/>
      <c r="H212" s="29"/>
      <c r="I212" s="37"/>
      <c r="J212" s="37"/>
      <c r="K212" s="114"/>
      <c r="L212" s="37"/>
      <c r="M212" s="103"/>
      <c r="N212" s="109"/>
      <c r="O212" s="6"/>
    </row>
    <row r="213" spans="1:15" ht="15.75">
      <c r="A213" s="106"/>
      <c r="B213" s="162" t="s">
        <v>152</v>
      </c>
      <c r="C213" s="67"/>
      <c r="D213" s="67"/>
      <c r="E213" s="113"/>
      <c r="F213" s="111"/>
      <c r="G213" s="112"/>
      <c r="H213" s="29"/>
      <c r="I213" s="37"/>
      <c r="J213" s="37"/>
      <c r="K213" s="114"/>
      <c r="L213" s="37"/>
      <c r="M213" s="103"/>
      <c r="N213" s="109"/>
      <c r="O213" s="6"/>
    </row>
    <row r="214" spans="1:15" ht="15.75">
      <c r="A214" s="106"/>
      <c r="B214" s="74" t="s">
        <v>153</v>
      </c>
      <c r="C214" s="67"/>
      <c r="D214" s="67"/>
      <c r="E214" s="113"/>
      <c r="F214" s="111"/>
      <c r="G214" s="112"/>
      <c r="H214" s="29"/>
      <c r="I214" s="37"/>
      <c r="J214" s="37"/>
      <c r="K214" s="115">
        <v>64</v>
      </c>
      <c r="L214" s="37"/>
      <c r="M214" s="103"/>
      <c r="N214" s="109"/>
      <c r="O214" s="6"/>
    </row>
    <row r="215" spans="1:15" ht="15.75">
      <c r="A215" s="106"/>
      <c r="B215" s="74" t="s">
        <v>149</v>
      </c>
      <c r="C215" s="67"/>
      <c r="D215" s="67"/>
      <c r="E215" s="113"/>
      <c r="F215" s="111"/>
      <c r="G215" s="112"/>
      <c r="H215" s="29"/>
      <c r="I215" s="37"/>
      <c r="J215" s="37"/>
      <c r="K215" s="115">
        <v>3.6</v>
      </c>
      <c r="L215" s="37"/>
      <c r="M215" s="103"/>
      <c r="N215" s="109"/>
      <c r="O215" s="6"/>
    </row>
    <row r="216" spans="1:15" ht="15.75">
      <c r="A216" s="106"/>
      <c r="B216" s="74" t="s">
        <v>154</v>
      </c>
      <c r="C216" s="67"/>
      <c r="D216" s="67"/>
      <c r="E216" s="113"/>
      <c r="F216" s="111"/>
      <c r="G216" s="112"/>
      <c r="H216" s="29"/>
      <c r="I216" s="37"/>
      <c r="J216" s="37"/>
      <c r="K216" s="115">
        <v>17</v>
      </c>
      <c r="L216" s="37"/>
      <c r="M216" s="103"/>
      <c r="N216" s="109"/>
      <c r="O216" s="6"/>
    </row>
    <row r="217" spans="1:15" ht="15.75">
      <c r="A217" s="106"/>
      <c r="B217" s="74"/>
      <c r="C217" s="67"/>
      <c r="D217" s="67"/>
      <c r="E217" s="113"/>
      <c r="F217" s="111"/>
      <c r="G217" s="112"/>
      <c r="H217" s="29"/>
      <c r="I217" s="37"/>
      <c r="J217" s="37"/>
      <c r="K217" s="114"/>
      <c r="L217" s="37"/>
      <c r="M217" s="103"/>
      <c r="N217" s="109"/>
      <c r="O217" s="6"/>
    </row>
    <row r="218" spans="1:15" ht="15.75">
      <c r="A218" s="163"/>
      <c r="B218" s="169" t="s">
        <v>155</v>
      </c>
      <c r="C218" s="164"/>
      <c r="D218" s="164"/>
      <c r="E218" s="165"/>
      <c r="F218" s="164"/>
      <c r="G218" s="165"/>
      <c r="H218" s="164"/>
      <c r="I218" s="165" t="s">
        <v>206</v>
      </c>
      <c r="J218" s="164" t="s">
        <v>208</v>
      </c>
      <c r="K218" s="165" t="s">
        <v>215</v>
      </c>
      <c r="L218" s="164" t="s">
        <v>208</v>
      </c>
      <c r="M218" s="166"/>
      <c r="N218" s="167"/>
      <c r="O218" s="6"/>
    </row>
    <row r="219" spans="1:15" ht="15.75">
      <c r="A219" s="28"/>
      <c r="B219" s="67" t="s">
        <v>156</v>
      </c>
      <c r="C219" s="116"/>
      <c r="D219" s="116"/>
      <c r="E219" s="67"/>
      <c r="F219" s="116"/>
      <c r="G219" s="29"/>
      <c r="H219" s="116"/>
      <c r="I219" s="67">
        <v>7239</v>
      </c>
      <c r="J219" s="116">
        <f>I219/I223</f>
        <v>0.9686872741870735</v>
      </c>
      <c r="K219" s="66">
        <v>81714</v>
      </c>
      <c r="L219" s="117">
        <f>K219/K223</f>
        <v>0.9658180270902773</v>
      </c>
      <c r="M219" s="103"/>
      <c r="N219" s="109"/>
      <c r="O219" s="6"/>
    </row>
    <row r="220" spans="1:15" ht="15.75">
      <c r="A220" s="28"/>
      <c r="B220" s="67" t="s">
        <v>157</v>
      </c>
      <c r="C220" s="116"/>
      <c r="D220" s="116"/>
      <c r="E220" s="67"/>
      <c r="F220" s="116"/>
      <c r="G220" s="29"/>
      <c r="H220" s="118"/>
      <c r="I220" s="67">
        <v>112</v>
      </c>
      <c r="J220" s="116">
        <f>I220/I223</f>
        <v>0.014987287568580221</v>
      </c>
      <c r="K220" s="66">
        <v>1457</v>
      </c>
      <c r="L220" s="117">
        <f>K220/K223</f>
        <v>0.01722100087464246</v>
      </c>
      <c r="M220" s="103"/>
      <c r="N220" s="109"/>
      <c r="O220" s="6"/>
    </row>
    <row r="221" spans="1:15" ht="15.75">
      <c r="A221" s="28"/>
      <c r="B221" s="67" t="s">
        <v>158</v>
      </c>
      <c r="C221" s="116"/>
      <c r="D221" s="116"/>
      <c r="E221" s="67"/>
      <c r="F221" s="116"/>
      <c r="G221" s="29"/>
      <c r="H221" s="118"/>
      <c r="I221" s="67">
        <v>54</v>
      </c>
      <c r="J221" s="116">
        <f>I221/I223</f>
        <v>0.0072260136491368926</v>
      </c>
      <c r="K221" s="66">
        <v>701</v>
      </c>
      <c r="L221" s="117">
        <f>K221/K223</f>
        <v>0.008285464387868473</v>
      </c>
      <c r="M221" s="103"/>
      <c r="N221" s="109"/>
      <c r="O221" s="6"/>
    </row>
    <row r="222" spans="1:15" ht="15.75">
      <c r="A222" s="28"/>
      <c r="B222" s="67" t="s">
        <v>159</v>
      </c>
      <c r="C222" s="116"/>
      <c r="D222" s="116"/>
      <c r="E222" s="67"/>
      <c r="F222" s="116"/>
      <c r="G222" s="29"/>
      <c r="H222" s="118"/>
      <c r="I222" s="67">
        <f>21+47</f>
        <v>68</v>
      </c>
      <c r="J222" s="116">
        <f>I222/I223</f>
        <v>0.00909942459520942</v>
      </c>
      <c r="K222" s="66">
        <f>236+514+9-25</f>
        <v>734</v>
      </c>
      <c r="L222" s="117">
        <f>K222/K223</f>
        <v>0.008675507647211781</v>
      </c>
      <c r="M222" s="103"/>
      <c r="N222" s="109"/>
      <c r="O222" s="6"/>
    </row>
    <row r="223" spans="1:15" ht="15.75">
      <c r="A223" s="28"/>
      <c r="B223" s="29"/>
      <c r="C223" s="29"/>
      <c r="D223" s="29"/>
      <c r="E223" s="37"/>
      <c r="F223" s="29"/>
      <c r="G223" s="29"/>
      <c r="H223" s="29"/>
      <c r="I223" s="65">
        <f>SUM(I219:I222)</f>
        <v>7473</v>
      </c>
      <c r="J223" s="117">
        <f>SUM(J219:J222)</f>
        <v>1</v>
      </c>
      <c r="K223" s="66">
        <f>SUM(K219:K222)</f>
        <v>84606</v>
      </c>
      <c r="L223" s="117">
        <f>SUM(L219:L222)</f>
        <v>1</v>
      </c>
      <c r="M223" s="103"/>
      <c r="N223" s="29"/>
      <c r="O223" s="6"/>
    </row>
    <row r="224" spans="1:15" ht="15.75">
      <c r="A224" s="28"/>
      <c r="B224" s="29"/>
      <c r="C224" s="29"/>
      <c r="D224" s="29"/>
      <c r="E224" s="37"/>
      <c r="F224" s="29"/>
      <c r="G224" s="29"/>
      <c r="H224" s="29"/>
      <c r="I224" s="65"/>
      <c r="J224" s="117"/>
      <c r="K224" s="66"/>
      <c r="L224" s="117"/>
      <c r="M224" s="103"/>
      <c r="N224" s="29"/>
      <c r="O224" s="6"/>
    </row>
    <row r="225" spans="1:15" ht="15.75">
      <c r="A225" s="28"/>
      <c r="B225" s="32" t="s">
        <v>160</v>
      </c>
      <c r="C225" s="119"/>
      <c r="D225" s="119"/>
      <c r="E225" s="120"/>
      <c r="F225" s="119"/>
      <c r="G225" s="120"/>
      <c r="H225" s="119"/>
      <c r="I225" s="120" t="s">
        <v>206</v>
      </c>
      <c r="J225" s="119" t="s">
        <v>208</v>
      </c>
      <c r="K225" s="120" t="s">
        <v>215</v>
      </c>
      <c r="L225" s="119" t="s">
        <v>208</v>
      </c>
      <c r="M225" s="121"/>
      <c r="N225" s="109"/>
      <c r="O225" s="6"/>
    </row>
    <row r="226" spans="1:15" ht="15.75">
      <c r="A226" s="28"/>
      <c r="B226" s="67" t="s">
        <v>156</v>
      </c>
      <c r="C226" s="116"/>
      <c r="D226" s="116"/>
      <c r="E226" s="67"/>
      <c r="F226" s="116"/>
      <c r="G226" s="29"/>
      <c r="H226" s="116"/>
      <c r="I226" s="67">
        <v>14619</v>
      </c>
      <c r="J226" s="116">
        <f>I226/I230</f>
        <v>0.9870366619404497</v>
      </c>
      <c r="K226" s="66">
        <v>90149</v>
      </c>
      <c r="L226" s="116">
        <f>K226/K230</f>
        <v>0.9831290350724132</v>
      </c>
      <c r="M226" s="103"/>
      <c r="N226" s="109"/>
      <c r="O226" s="6"/>
    </row>
    <row r="227" spans="1:15" ht="15.75">
      <c r="A227" s="28"/>
      <c r="B227" s="67" t="s">
        <v>157</v>
      </c>
      <c r="C227" s="116"/>
      <c r="D227" s="116"/>
      <c r="E227" s="67"/>
      <c r="F227" s="116"/>
      <c r="G227" s="29"/>
      <c r="H227" s="118"/>
      <c r="I227" s="67">
        <v>102</v>
      </c>
      <c r="J227" s="116">
        <f>I227/I230</f>
        <v>0.006886773344136115</v>
      </c>
      <c r="K227" s="66">
        <v>786</v>
      </c>
      <c r="L227" s="116">
        <f>K227/K230</f>
        <v>0.008571802477752574</v>
      </c>
      <c r="M227" s="103"/>
      <c r="N227" s="109"/>
      <c r="O227" s="6"/>
    </row>
    <row r="228" spans="1:15" ht="15.75">
      <c r="A228" s="28"/>
      <c r="B228" s="67" t="s">
        <v>158</v>
      </c>
      <c r="C228" s="116"/>
      <c r="D228" s="116"/>
      <c r="E228" s="67"/>
      <c r="F228" s="116"/>
      <c r="G228" s="29"/>
      <c r="H228" s="118"/>
      <c r="I228" s="67">
        <v>35</v>
      </c>
      <c r="J228" s="116">
        <f>I228/I230</f>
        <v>0.002363108500438863</v>
      </c>
      <c r="K228" s="66">
        <v>228</v>
      </c>
      <c r="L228" s="116">
        <f>K228/K230</f>
        <v>0.00248647705461525</v>
      </c>
      <c r="M228" s="103"/>
      <c r="N228" s="109"/>
      <c r="O228" s="6"/>
    </row>
    <row r="229" spans="1:15" ht="15.75">
      <c r="A229" s="28"/>
      <c r="B229" s="67" t="s">
        <v>159</v>
      </c>
      <c r="C229" s="116"/>
      <c r="D229" s="116"/>
      <c r="E229" s="67"/>
      <c r="F229" s="116"/>
      <c r="G229" s="29"/>
      <c r="H229" s="118"/>
      <c r="I229" s="67">
        <f>16+39</f>
        <v>55</v>
      </c>
      <c r="J229" s="116">
        <f>I229/I230</f>
        <v>0.003713456214975356</v>
      </c>
      <c r="K229" s="66">
        <f>99+285+165-16</f>
        <v>533</v>
      </c>
      <c r="L229" s="116">
        <f>K229/K230</f>
        <v>0.005812685395218985</v>
      </c>
      <c r="M229" s="103"/>
      <c r="N229" s="109"/>
      <c r="O229" s="6"/>
    </row>
    <row r="230" spans="1:15" ht="15.75">
      <c r="A230" s="28"/>
      <c r="B230" s="29"/>
      <c r="C230" s="29"/>
      <c r="D230" s="29"/>
      <c r="E230" s="37"/>
      <c r="F230" s="29"/>
      <c r="G230" s="29"/>
      <c r="H230" s="29"/>
      <c r="I230" s="65">
        <f>SUM(I226:I229)</f>
        <v>14811</v>
      </c>
      <c r="J230" s="117">
        <f>SUM(J226:J229)</f>
        <v>1</v>
      </c>
      <c r="K230" s="66">
        <f>SUM(K226:K229)</f>
        <v>91696</v>
      </c>
      <c r="L230" s="117">
        <f>SUM(L226:L229)</f>
        <v>1</v>
      </c>
      <c r="M230" s="103"/>
      <c r="N230" s="29"/>
      <c r="O230" s="6"/>
    </row>
    <row r="231" spans="1:15" ht="15.75">
      <c r="A231" s="28"/>
      <c r="B231" s="29"/>
      <c r="C231" s="29"/>
      <c r="D231" s="29"/>
      <c r="E231" s="37"/>
      <c r="F231" s="29"/>
      <c r="G231" s="29"/>
      <c r="H231" s="29"/>
      <c r="I231" s="65"/>
      <c r="J231" s="117"/>
      <c r="K231" s="66"/>
      <c r="L231" s="117"/>
      <c r="M231" s="103"/>
      <c r="N231" s="29"/>
      <c r="O231" s="6"/>
    </row>
    <row r="232" spans="1:15" ht="15.75">
      <c r="A232" s="28"/>
      <c r="B232" s="29" t="s">
        <v>161</v>
      </c>
      <c r="C232" s="29"/>
      <c r="D232" s="29"/>
      <c r="E232" s="37"/>
      <c r="F232" s="29"/>
      <c r="G232" s="29"/>
      <c r="H232" s="29"/>
      <c r="I232" s="65"/>
      <c r="J232" s="117"/>
      <c r="K232" s="66">
        <f>K223+K230</f>
        <v>176302</v>
      </c>
      <c r="L232" s="117"/>
      <c r="M232" s="103"/>
      <c r="N232" s="29"/>
      <c r="O232" s="6"/>
    </row>
    <row r="233" spans="1:15" ht="15.75">
      <c r="A233" s="28"/>
      <c r="B233" s="29"/>
      <c r="C233" s="29"/>
      <c r="D233" s="29"/>
      <c r="E233" s="37"/>
      <c r="F233" s="29"/>
      <c r="G233" s="29"/>
      <c r="H233" s="29"/>
      <c r="I233" s="65"/>
      <c r="J233" s="117"/>
      <c r="K233" s="66"/>
      <c r="L233" s="117"/>
      <c r="M233" s="103"/>
      <c r="N233" s="29"/>
      <c r="O233" s="6"/>
    </row>
    <row r="234" spans="1:15" ht="15.75">
      <c r="A234" s="28"/>
      <c r="B234" s="29"/>
      <c r="C234" s="29"/>
      <c r="D234" s="29"/>
      <c r="E234" s="37"/>
      <c r="F234" s="29"/>
      <c r="G234" s="29"/>
      <c r="H234" s="29"/>
      <c r="I234" s="65"/>
      <c r="J234" s="117"/>
      <c r="K234" s="66"/>
      <c r="L234" s="117"/>
      <c r="M234" s="103"/>
      <c r="N234" s="29"/>
      <c r="O234" s="6"/>
    </row>
    <row r="235" spans="1:15" ht="15.75">
      <c r="A235" s="122"/>
      <c r="B235" s="17" t="s">
        <v>162</v>
      </c>
      <c r="C235" s="123"/>
      <c r="D235" s="123"/>
      <c r="E235" s="20" t="s">
        <v>182</v>
      </c>
      <c r="F235" s="18"/>
      <c r="G235" s="17" t="s">
        <v>194</v>
      </c>
      <c r="H235" s="124"/>
      <c r="I235" s="124"/>
      <c r="J235" s="124"/>
      <c r="K235" s="125"/>
      <c r="L235" s="14"/>
      <c r="M235" s="14"/>
      <c r="N235" s="14"/>
      <c r="O235" s="6"/>
    </row>
    <row r="236" spans="1:15" ht="15.75">
      <c r="A236" s="122"/>
      <c r="B236" s="15" t="s">
        <v>163</v>
      </c>
      <c r="C236" s="126"/>
      <c r="D236" s="126"/>
      <c r="E236" s="127" t="s">
        <v>183</v>
      </c>
      <c r="F236" s="15"/>
      <c r="G236" s="15" t="s">
        <v>195</v>
      </c>
      <c r="H236" s="126"/>
      <c r="I236" s="126"/>
      <c r="J236" s="14"/>
      <c r="K236" s="14"/>
      <c r="L236" s="14"/>
      <c r="M236" s="14"/>
      <c r="N236" s="14"/>
      <c r="O236" s="6"/>
    </row>
    <row r="237" spans="1:15" ht="15.75">
      <c r="A237" s="122"/>
      <c r="B237" s="15" t="s">
        <v>164</v>
      </c>
      <c r="C237" s="126"/>
      <c r="D237" s="126"/>
      <c r="E237" s="127" t="s">
        <v>184</v>
      </c>
      <c r="F237" s="15"/>
      <c r="G237" s="15" t="s">
        <v>196</v>
      </c>
      <c r="H237" s="126"/>
      <c r="I237" s="126"/>
      <c r="J237" s="14"/>
      <c r="K237" s="14"/>
      <c r="L237" s="14"/>
      <c r="M237" s="14"/>
      <c r="N237" s="14"/>
      <c r="O237" s="6"/>
    </row>
    <row r="238" spans="1:15" ht="15.75">
      <c r="A238" s="122"/>
      <c r="B238" s="15"/>
      <c r="C238" s="126"/>
      <c r="D238" s="126"/>
      <c r="E238" s="127"/>
      <c r="F238" s="15"/>
      <c r="G238" s="15"/>
      <c r="H238" s="126"/>
      <c r="I238" s="126"/>
      <c r="J238" s="14"/>
      <c r="K238" s="14"/>
      <c r="L238" s="14"/>
      <c r="M238" s="14"/>
      <c r="N238" s="14"/>
      <c r="O238" s="6"/>
    </row>
    <row r="239" spans="1:15" ht="15.75">
      <c r="A239" s="122"/>
      <c r="B239" s="15"/>
      <c r="C239" s="126"/>
      <c r="D239" s="126"/>
      <c r="E239" s="127"/>
      <c r="F239" s="15"/>
      <c r="G239" s="15"/>
      <c r="H239" s="126"/>
      <c r="I239" s="126"/>
      <c r="J239" s="14"/>
      <c r="K239" s="14"/>
      <c r="L239" s="14"/>
      <c r="M239" s="14"/>
      <c r="N239" s="14"/>
      <c r="O239" s="6"/>
    </row>
    <row r="240" spans="1:15" ht="15.75">
      <c r="A240" s="122"/>
      <c r="B240" s="15" t="s">
        <v>226</v>
      </c>
      <c r="C240" s="126"/>
      <c r="D240" s="126"/>
      <c r="E240" s="127"/>
      <c r="F240" s="15"/>
      <c r="G240" s="15"/>
      <c r="H240" s="126"/>
      <c r="I240" s="126"/>
      <c r="J240" s="14"/>
      <c r="K240" s="14"/>
      <c r="L240" s="14"/>
      <c r="M240" s="14"/>
      <c r="N240" s="14"/>
      <c r="O240" s="6"/>
    </row>
    <row r="241" spans="1:14" ht="15">
      <c r="A241" s="130"/>
      <c r="B241" s="130"/>
      <c r="C241" s="130"/>
      <c r="D241" s="130"/>
      <c r="E241" s="130"/>
      <c r="F241" s="130"/>
      <c r="G241" s="130"/>
      <c r="H241" s="130"/>
      <c r="I241" s="130"/>
      <c r="J241" s="130"/>
      <c r="K241" s="130"/>
      <c r="L241" s="130"/>
      <c r="M241" s="130"/>
      <c r="N241" s="130"/>
    </row>
  </sheetData>
  <printOptions horizontalCentered="1" verticalCentered="1"/>
  <pageMargins left="0.2362204724409449" right="0.4330708661417323" top="0.2362204724409449" bottom="0.31496062992125984" header="0" footer="0"/>
  <pageSetup horizontalDpi="600" verticalDpi="600" orientation="landscape" paperSize="9" scale="50" r:id="rId2"/>
  <rowBreaks count="3" manualBreakCount="3">
    <brk id="53" max="14" man="1"/>
    <brk id="116" max="14" man="1"/>
    <brk id="174" max="14" man="1"/>
  </rowBreaks>
  <drawing r:id="rId1"/>
</worksheet>
</file>

<file path=xl/worksheets/sheet3.xml><?xml version="1.0" encoding="utf-8"?>
<worksheet xmlns="http://schemas.openxmlformats.org/spreadsheetml/2006/main" xmlns:r="http://schemas.openxmlformats.org/officeDocument/2006/relationships">
  <dimension ref="A1:O24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49.6640625" style="1" customWidth="1"/>
    <col min="3" max="3" width="12.6640625" style="1" customWidth="1"/>
    <col min="4" max="4" width="18.6640625" style="1" customWidth="1"/>
    <col min="5" max="5" width="14.6640625" style="1" customWidth="1"/>
    <col min="6" max="6" width="4.6640625" style="1" customWidth="1"/>
    <col min="7" max="7" width="14.6640625" style="1" customWidth="1"/>
    <col min="8" max="8" width="4.6640625" style="1" customWidth="1"/>
    <col min="9" max="9" width="19.6640625" style="1" customWidth="1"/>
    <col min="10" max="10" width="6.6640625" style="1" customWidth="1"/>
    <col min="11" max="11" width="11.6640625" style="1" customWidth="1"/>
    <col min="12" max="12" width="8.6640625" style="1" customWidth="1"/>
    <col min="13" max="13" width="14.6640625" style="1" customWidth="1"/>
    <col min="14" max="14" width="2.6640625" style="1" customWidth="1"/>
    <col min="15" max="16384" width="9.6640625" style="1" customWidth="1"/>
  </cols>
  <sheetData>
    <row r="1" spans="1:15" ht="20.25">
      <c r="A1" s="2"/>
      <c r="B1" s="3" t="s">
        <v>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44" t="s">
        <v>1</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2</v>
      </c>
      <c r="C5" s="13"/>
      <c r="D5" s="13"/>
      <c r="E5" s="9"/>
      <c r="F5" s="9"/>
      <c r="G5" s="9"/>
      <c r="H5" s="9"/>
      <c r="I5" s="9"/>
      <c r="J5" s="9"/>
      <c r="K5" s="9"/>
      <c r="L5" s="9"/>
      <c r="M5" s="9"/>
      <c r="N5" s="9"/>
      <c r="O5" s="6"/>
    </row>
    <row r="6" spans="1:15" ht="15.75">
      <c r="A6" s="7"/>
      <c r="B6" s="12" t="s">
        <v>3</v>
      </c>
      <c r="C6" s="13"/>
      <c r="D6" s="13"/>
      <c r="E6" s="9"/>
      <c r="F6" s="9"/>
      <c r="G6" s="9"/>
      <c r="H6" s="9"/>
      <c r="I6" s="9"/>
      <c r="J6" s="9"/>
      <c r="K6" s="9"/>
      <c r="L6" s="9"/>
      <c r="M6" s="9"/>
      <c r="N6" s="9"/>
      <c r="O6" s="6"/>
    </row>
    <row r="7" spans="1:15" ht="15.75">
      <c r="A7" s="7"/>
      <c r="B7" s="12" t="s">
        <v>4</v>
      </c>
      <c r="C7" s="13"/>
      <c r="D7" s="13"/>
      <c r="E7" s="9"/>
      <c r="F7" s="9"/>
      <c r="G7" s="9"/>
      <c r="H7" s="9"/>
      <c r="I7" s="9"/>
      <c r="J7" s="9"/>
      <c r="K7" s="9"/>
      <c r="L7" s="9"/>
      <c r="M7" s="9"/>
      <c r="N7" s="9"/>
      <c r="O7" s="6"/>
    </row>
    <row r="8" spans="1:15" ht="15.75">
      <c r="A8" s="7"/>
      <c r="B8" s="14"/>
      <c r="C8" s="13"/>
      <c r="D8" s="13"/>
      <c r="E8" s="9"/>
      <c r="F8" s="9"/>
      <c r="G8" s="9"/>
      <c r="H8" s="9"/>
      <c r="I8" s="9"/>
      <c r="J8" s="9"/>
      <c r="K8" s="9"/>
      <c r="L8" s="9"/>
      <c r="M8" s="9"/>
      <c r="N8" s="9"/>
      <c r="O8" s="6"/>
    </row>
    <row r="9" spans="1:15" ht="15.75">
      <c r="A9" s="7"/>
      <c r="B9" s="13"/>
      <c r="C9" s="13"/>
      <c r="D9" s="13"/>
      <c r="E9" s="15"/>
      <c r="F9" s="15"/>
      <c r="G9" s="9"/>
      <c r="H9" s="9"/>
      <c r="I9" s="9"/>
      <c r="J9" s="9"/>
      <c r="K9" s="9"/>
      <c r="L9" s="9"/>
      <c r="M9" s="9"/>
      <c r="N9" s="9"/>
      <c r="O9" s="6"/>
    </row>
    <row r="10" spans="1:15" ht="15.75">
      <c r="A10" s="7"/>
      <c r="B10" s="15" t="s">
        <v>5</v>
      </c>
      <c r="C10" s="15"/>
      <c r="D10" s="15"/>
      <c r="E10" s="9"/>
      <c r="F10" s="9"/>
      <c r="G10" s="9"/>
      <c r="H10" s="9"/>
      <c r="I10" s="9"/>
      <c r="J10" s="9"/>
      <c r="K10" s="9"/>
      <c r="L10" s="9"/>
      <c r="M10" s="9"/>
      <c r="N10" s="9"/>
      <c r="O10" s="6"/>
    </row>
    <row r="11" spans="1:15" ht="15.75">
      <c r="A11" s="7"/>
      <c r="B11" s="15"/>
      <c r="C11" s="15"/>
      <c r="D11" s="15"/>
      <c r="E11" s="9"/>
      <c r="F11" s="9"/>
      <c r="G11" s="9"/>
      <c r="H11" s="9"/>
      <c r="I11" s="9"/>
      <c r="J11" s="9"/>
      <c r="K11" s="9"/>
      <c r="L11" s="9"/>
      <c r="M11" s="9"/>
      <c r="N11" s="9"/>
      <c r="O11" s="6"/>
    </row>
    <row r="12" spans="1:15" ht="15.75">
      <c r="A12" s="2"/>
      <c r="B12" s="5"/>
      <c r="C12" s="5"/>
      <c r="D12" s="5"/>
      <c r="E12" s="5"/>
      <c r="F12" s="5"/>
      <c r="G12" s="5"/>
      <c r="H12" s="5"/>
      <c r="I12" s="5"/>
      <c r="J12" s="5"/>
      <c r="K12" s="5"/>
      <c r="L12" s="5"/>
      <c r="M12" s="5"/>
      <c r="N12" s="5"/>
      <c r="O12" s="6"/>
    </row>
    <row r="13" spans="1:15" ht="15.75">
      <c r="A13" s="7"/>
      <c r="B13" s="17" t="s">
        <v>6</v>
      </c>
      <c r="C13" s="17"/>
      <c r="D13" s="17"/>
      <c r="E13" s="18"/>
      <c r="F13" s="18"/>
      <c r="G13" s="18"/>
      <c r="H13" s="18"/>
      <c r="I13" s="18"/>
      <c r="J13" s="18"/>
      <c r="K13" s="18"/>
      <c r="L13" s="18"/>
      <c r="M13" s="19" t="s">
        <v>217</v>
      </c>
      <c r="N13" s="9"/>
      <c r="O13" s="6"/>
    </row>
    <row r="14" spans="1:15" ht="15.75">
      <c r="A14" s="7"/>
      <c r="B14" s="17" t="s">
        <v>7</v>
      </c>
      <c r="C14" s="17"/>
      <c r="D14" s="18"/>
      <c r="E14" s="18"/>
      <c r="F14" s="18"/>
      <c r="G14" s="18"/>
      <c r="H14" s="20" t="s">
        <v>197</v>
      </c>
      <c r="I14" s="21">
        <v>0.52</v>
      </c>
      <c r="J14" s="20" t="s">
        <v>207</v>
      </c>
      <c r="K14" s="21">
        <v>0.48</v>
      </c>
      <c r="L14" s="18"/>
      <c r="M14" s="19"/>
      <c r="N14" s="9"/>
      <c r="O14" s="6"/>
    </row>
    <row r="15" spans="1:15" ht="15.75">
      <c r="A15" s="7"/>
      <c r="B15" s="17" t="s">
        <v>8</v>
      </c>
      <c r="C15" s="17"/>
      <c r="D15" s="18"/>
      <c r="E15" s="18"/>
      <c r="F15" s="18"/>
      <c r="G15" s="18"/>
      <c r="H15" s="20" t="s">
        <v>197</v>
      </c>
      <c r="I15" s="21">
        <f>K230/K232</f>
        <v>0.520422475227847</v>
      </c>
      <c r="J15" s="20" t="s">
        <v>207</v>
      </c>
      <c r="K15" s="21">
        <f>K223/K232</f>
        <v>0.479577524772153</v>
      </c>
      <c r="L15" s="18"/>
      <c r="M15" s="19"/>
      <c r="N15" s="9"/>
      <c r="O15" s="6"/>
    </row>
    <row r="16" spans="1:15" ht="15.75">
      <c r="A16" s="7"/>
      <c r="B16" s="17" t="s">
        <v>9</v>
      </c>
      <c r="C16" s="17"/>
      <c r="D16" s="17"/>
      <c r="E16" s="18"/>
      <c r="F16" s="18"/>
      <c r="G16" s="18"/>
      <c r="H16" s="18"/>
      <c r="I16" s="18"/>
      <c r="J16" s="18"/>
      <c r="K16" s="18"/>
      <c r="L16" s="18"/>
      <c r="M16" s="20" t="s">
        <v>218</v>
      </c>
      <c r="N16" s="9"/>
      <c r="O16" s="6"/>
    </row>
    <row r="17" spans="1:15" ht="15.75">
      <c r="A17" s="7"/>
      <c r="B17" s="17" t="s">
        <v>10</v>
      </c>
      <c r="C17" s="17"/>
      <c r="D17" s="17"/>
      <c r="E17" s="18"/>
      <c r="F17" s="18"/>
      <c r="G17" s="18"/>
      <c r="H17" s="18"/>
      <c r="I17" s="18"/>
      <c r="J17" s="18"/>
      <c r="K17" s="18"/>
      <c r="L17" s="18"/>
      <c r="M17" s="22">
        <v>37128</v>
      </c>
      <c r="N17" s="9"/>
      <c r="O17" s="6"/>
    </row>
    <row r="18" spans="1:15" ht="15.75">
      <c r="A18" s="7"/>
      <c r="B18" s="9"/>
      <c r="C18" s="9"/>
      <c r="D18" s="9"/>
      <c r="E18" s="9"/>
      <c r="F18" s="9"/>
      <c r="G18" s="9"/>
      <c r="H18" s="9"/>
      <c r="I18" s="9"/>
      <c r="J18" s="9"/>
      <c r="K18" s="9"/>
      <c r="L18" s="9"/>
      <c r="M18" s="23"/>
      <c r="N18" s="9"/>
      <c r="O18" s="6"/>
    </row>
    <row r="19" spans="1:15" ht="15.75">
      <c r="A19" s="7"/>
      <c r="B19" s="24" t="s">
        <v>11</v>
      </c>
      <c r="C19" s="9"/>
      <c r="D19" s="9"/>
      <c r="E19" s="9"/>
      <c r="F19" s="9"/>
      <c r="G19" s="9"/>
      <c r="H19" s="9"/>
      <c r="I19" s="9"/>
      <c r="J19" s="9"/>
      <c r="K19" s="23"/>
      <c r="L19" s="9"/>
      <c r="M19" s="14"/>
      <c r="N19" s="9"/>
      <c r="O19" s="6"/>
    </row>
    <row r="20" spans="1:15" ht="15.75">
      <c r="A20" s="7"/>
      <c r="B20" s="9"/>
      <c r="C20" s="9"/>
      <c r="D20" s="9"/>
      <c r="E20" s="9"/>
      <c r="F20" s="9"/>
      <c r="G20" s="9"/>
      <c r="H20" s="9"/>
      <c r="I20" s="9"/>
      <c r="J20" s="9"/>
      <c r="K20" s="9"/>
      <c r="L20" s="9"/>
      <c r="M20" s="25"/>
      <c r="N20" s="9"/>
      <c r="O20" s="6"/>
    </row>
    <row r="21" spans="1:15" ht="31.5">
      <c r="A21" s="7"/>
      <c r="B21" s="9"/>
      <c r="C21" s="145" t="s">
        <v>165</v>
      </c>
      <c r="D21" s="168" t="s">
        <v>168</v>
      </c>
      <c r="E21" s="168" t="s">
        <v>179</v>
      </c>
      <c r="F21" s="168"/>
      <c r="G21" s="168" t="s">
        <v>185</v>
      </c>
      <c r="H21" s="168"/>
      <c r="I21" s="168" t="s">
        <v>198</v>
      </c>
      <c r="J21" s="168"/>
      <c r="K21" s="27"/>
      <c r="L21" s="14"/>
      <c r="M21" s="14"/>
      <c r="N21" s="9"/>
      <c r="O21" s="6"/>
    </row>
    <row r="22" spans="1:15" ht="15.75">
      <c r="A22" s="28"/>
      <c r="B22" s="29" t="s">
        <v>12</v>
      </c>
      <c r="C22" s="146" t="s">
        <v>166</v>
      </c>
      <c r="D22" s="30" t="s">
        <v>169</v>
      </c>
      <c r="E22" s="30"/>
      <c r="F22" s="30"/>
      <c r="G22" s="30" t="s">
        <v>186</v>
      </c>
      <c r="H22" s="30"/>
      <c r="I22" s="30" t="s">
        <v>199</v>
      </c>
      <c r="J22" s="30"/>
      <c r="K22" s="30"/>
      <c r="L22" s="31"/>
      <c r="M22" s="31"/>
      <c r="N22" s="29"/>
      <c r="O22" s="6"/>
    </row>
    <row r="23" spans="1:15" ht="15.75">
      <c r="A23" s="28"/>
      <c r="B23" s="29" t="s">
        <v>13</v>
      </c>
      <c r="C23" s="32"/>
      <c r="D23" s="33" t="s">
        <v>170</v>
      </c>
      <c r="E23" s="34"/>
      <c r="F23" s="33"/>
      <c r="G23" s="33" t="s">
        <v>187</v>
      </c>
      <c r="H23" s="33"/>
      <c r="I23" s="33" t="s">
        <v>200</v>
      </c>
      <c r="J23" s="35"/>
      <c r="K23" s="35"/>
      <c r="L23" s="36"/>
      <c r="M23" s="31"/>
      <c r="N23" s="29"/>
      <c r="O23" s="6"/>
    </row>
    <row r="24" spans="1:15" ht="15.75">
      <c r="A24" s="28"/>
      <c r="B24" s="32" t="s">
        <v>14</v>
      </c>
      <c r="C24" s="32"/>
      <c r="D24" s="35" t="s">
        <v>169</v>
      </c>
      <c r="E24" s="35"/>
      <c r="F24" s="35"/>
      <c r="G24" s="35" t="s">
        <v>186</v>
      </c>
      <c r="H24" s="35"/>
      <c r="I24" s="35" t="s">
        <v>199</v>
      </c>
      <c r="J24" s="35"/>
      <c r="K24" s="35"/>
      <c r="L24" s="36"/>
      <c r="M24" s="31"/>
      <c r="N24" s="29"/>
      <c r="O24" s="6"/>
    </row>
    <row r="25" spans="1:15" ht="15.75">
      <c r="A25" s="28"/>
      <c r="B25" s="32" t="s">
        <v>15</v>
      </c>
      <c r="C25" s="32"/>
      <c r="D25" s="35" t="s">
        <v>170</v>
      </c>
      <c r="E25" s="35"/>
      <c r="F25" s="35"/>
      <c r="G25" s="35" t="s">
        <v>187</v>
      </c>
      <c r="H25" s="35"/>
      <c r="I25" s="35" t="s">
        <v>200</v>
      </c>
      <c r="J25" s="35"/>
      <c r="K25" s="35"/>
      <c r="L25" s="36"/>
      <c r="M25" s="31"/>
      <c r="N25" s="29"/>
      <c r="O25" s="6"/>
    </row>
    <row r="26" spans="1:15" ht="15.75">
      <c r="A26" s="28"/>
      <c r="B26" s="29" t="s">
        <v>16</v>
      </c>
      <c r="C26" s="29"/>
      <c r="D26" s="37" t="s">
        <v>171</v>
      </c>
      <c r="E26" s="37"/>
      <c r="F26" s="30"/>
      <c r="G26" s="37" t="s">
        <v>188</v>
      </c>
      <c r="H26" s="30"/>
      <c r="I26" s="37" t="s">
        <v>201</v>
      </c>
      <c r="J26" s="30"/>
      <c r="K26" s="37"/>
      <c r="L26" s="31"/>
      <c r="M26" s="31"/>
      <c r="N26" s="29"/>
      <c r="O26" s="6"/>
    </row>
    <row r="27" spans="1:15" ht="15.75">
      <c r="A27" s="28"/>
      <c r="B27" s="29"/>
      <c r="C27" s="29"/>
      <c r="D27" s="29"/>
      <c r="E27" s="29"/>
      <c r="F27" s="30"/>
      <c r="G27" s="30"/>
      <c r="H27" s="30"/>
      <c r="I27" s="30"/>
      <c r="J27" s="30"/>
      <c r="K27" s="30"/>
      <c r="L27" s="31"/>
      <c r="M27" s="31"/>
      <c r="N27" s="29"/>
      <c r="O27" s="6"/>
    </row>
    <row r="28" spans="1:15" ht="15.75">
      <c r="A28" s="28"/>
      <c r="B28" s="29" t="s">
        <v>17</v>
      </c>
      <c r="C28" s="29"/>
      <c r="D28" s="38" t="s">
        <v>172</v>
      </c>
      <c r="E28" s="38">
        <v>168668</v>
      </c>
      <c r="F28" s="39"/>
      <c r="G28" s="38">
        <v>16580</v>
      </c>
      <c r="H28" s="38"/>
      <c r="I28" s="38">
        <v>9750</v>
      </c>
      <c r="J28" s="38"/>
      <c r="K28" s="38"/>
      <c r="L28" s="39" t="s">
        <v>172</v>
      </c>
      <c r="M28" s="38">
        <f>K28+I28+G28+E28</f>
        <v>194998</v>
      </c>
      <c r="N28" s="40"/>
      <c r="O28" s="6"/>
    </row>
    <row r="29" spans="1:15" ht="15.75">
      <c r="A29" s="28"/>
      <c r="B29" s="29" t="s">
        <v>18</v>
      </c>
      <c r="C29" s="41">
        <f>M28/M29</f>
        <v>1</v>
      </c>
      <c r="D29" s="38" t="s">
        <v>173</v>
      </c>
      <c r="E29" s="38">
        <v>168668</v>
      </c>
      <c r="F29" s="39"/>
      <c r="G29" s="38">
        <v>16580</v>
      </c>
      <c r="H29" s="38"/>
      <c r="I29" s="38">
        <v>9750</v>
      </c>
      <c r="J29" s="42"/>
      <c r="K29" s="38"/>
      <c r="L29" s="39" t="s">
        <v>172</v>
      </c>
      <c r="M29" s="38">
        <f>K29+I29+G29+E29</f>
        <v>194998</v>
      </c>
      <c r="N29" s="40"/>
      <c r="O29" s="6"/>
    </row>
    <row r="30" spans="1:15" ht="15.75">
      <c r="A30" s="43"/>
      <c r="B30" s="32" t="s">
        <v>19</v>
      </c>
      <c r="C30" s="44">
        <f>M29/M30</f>
        <v>1</v>
      </c>
      <c r="D30" s="45" t="s">
        <v>172</v>
      </c>
      <c r="E30" s="45">
        <v>168668</v>
      </c>
      <c r="F30" s="46"/>
      <c r="G30" s="45">
        <v>16580</v>
      </c>
      <c r="H30" s="45"/>
      <c r="I30" s="45">
        <v>9750</v>
      </c>
      <c r="J30" s="45"/>
      <c r="K30" s="45"/>
      <c r="L30" s="46" t="s">
        <v>172</v>
      </c>
      <c r="M30" s="45">
        <f>K30+I30+G30+E30</f>
        <v>194998</v>
      </c>
      <c r="N30" s="29"/>
      <c r="O30" s="6"/>
    </row>
    <row r="31" spans="1:15" ht="15.75">
      <c r="A31" s="28"/>
      <c r="B31" s="29" t="s">
        <v>20</v>
      </c>
      <c r="C31" s="47"/>
      <c r="D31" s="37" t="s">
        <v>174</v>
      </c>
      <c r="E31" s="37"/>
      <c r="F31" s="29"/>
      <c r="G31" s="37" t="s">
        <v>189</v>
      </c>
      <c r="H31" s="37"/>
      <c r="I31" s="37" t="s">
        <v>202</v>
      </c>
      <c r="J31" s="37"/>
      <c r="K31" s="37"/>
      <c r="L31" s="31"/>
      <c r="M31" s="31"/>
      <c r="N31" s="29"/>
      <c r="O31" s="6"/>
    </row>
    <row r="32" spans="1:15" ht="15.75">
      <c r="A32" s="28"/>
      <c r="B32" s="29" t="s">
        <v>21</v>
      </c>
      <c r="C32" s="47"/>
      <c r="D32" s="48" t="s">
        <v>175</v>
      </c>
      <c r="E32" s="49">
        <v>0.0561125</v>
      </c>
      <c r="F32" s="50"/>
      <c r="G32" s="48">
        <v>0.0603625</v>
      </c>
      <c r="H32" s="48"/>
      <c r="I32" s="48">
        <v>0.0703625</v>
      </c>
      <c r="J32" s="51"/>
      <c r="K32" s="48"/>
      <c r="L32" s="31"/>
      <c r="M32" s="51">
        <f>SUMPRODUCT(E32:K32,E30:K30)/M30</f>
        <v>0.05718636998841013</v>
      </c>
      <c r="N32" s="29"/>
      <c r="O32" s="6"/>
    </row>
    <row r="33" spans="1:15" ht="15.75">
      <c r="A33" s="28"/>
      <c r="B33" s="29" t="s">
        <v>22</v>
      </c>
      <c r="C33" s="47"/>
      <c r="D33" s="48">
        <v>0.04903</v>
      </c>
      <c r="E33" s="48"/>
      <c r="F33" s="50"/>
      <c r="G33" s="48" t="s">
        <v>175</v>
      </c>
      <c r="H33" s="48"/>
      <c r="I33" s="48" t="s">
        <v>175</v>
      </c>
      <c r="J33" s="51"/>
      <c r="K33" s="48"/>
      <c r="L33" s="31"/>
      <c r="M33" s="51"/>
      <c r="N33" s="29"/>
      <c r="O33" s="6"/>
    </row>
    <row r="34" spans="1:15" ht="15.75">
      <c r="A34" s="28"/>
      <c r="B34" s="29" t="s">
        <v>23</v>
      </c>
      <c r="C34" s="47"/>
      <c r="D34" s="48" t="s">
        <v>175</v>
      </c>
      <c r="E34" s="48"/>
      <c r="F34" s="48"/>
      <c r="G34" s="48">
        <v>0.0656875</v>
      </c>
      <c r="H34" s="48"/>
      <c r="I34" s="48">
        <v>0.0756875</v>
      </c>
      <c r="J34" s="51"/>
      <c r="K34" s="48"/>
      <c r="L34" s="31"/>
      <c r="M34" s="31"/>
      <c r="N34" s="29"/>
      <c r="O34" s="6"/>
    </row>
    <row r="35" spans="1:15" ht="15.75">
      <c r="A35" s="28"/>
      <c r="B35" s="29" t="s">
        <v>24</v>
      </c>
      <c r="C35" s="47"/>
      <c r="D35" s="48">
        <v>0.05073</v>
      </c>
      <c r="E35" s="48"/>
      <c r="F35" s="50"/>
      <c r="G35" s="48" t="s">
        <v>175</v>
      </c>
      <c r="H35" s="48"/>
      <c r="I35" s="48" t="s">
        <v>175</v>
      </c>
      <c r="J35" s="51"/>
      <c r="K35" s="48"/>
      <c r="L35" s="31"/>
      <c r="M35" s="31"/>
      <c r="N35" s="29"/>
      <c r="O35" s="6"/>
    </row>
    <row r="36" spans="1:15" ht="15.75">
      <c r="A36" s="28"/>
      <c r="B36" s="29" t="s">
        <v>25</v>
      </c>
      <c r="C36" s="47"/>
      <c r="D36" s="37" t="s">
        <v>176</v>
      </c>
      <c r="E36" s="37"/>
      <c r="F36" s="29"/>
      <c r="G36" s="37" t="s">
        <v>176</v>
      </c>
      <c r="H36" s="37"/>
      <c r="I36" s="37" t="s">
        <v>176</v>
      </c>
      <c r="J36" s="37"/>
      <c r="K36" s="37"/>
      <c r="L36" s="31"/>
      <c r="M36" s="31"/>
      <c r="N36" s="29"/>
      <c r="O36" s="6"/>
    </row>
    <row r="37" spans="1:15" ht="15.75">
      <c r="A37" s="28"/>
      <c r="B37" s="29" t="s">
        <v>26</v>
      </c>
      <c r="C37" s="29"/>
      <c r="D37" s="52">
        <v>39036</v>
      </c>
      <c r="E37" s="52"/>
      <c r="F37" s="29"/>
      <c r="G37" s="52">
        <v>39036</v>
      </c>
      <c r="H37" s="52"/>
      <c r="I37" s="52">
        <v>39036</v>
      </c>
      <c r="J37" s="37"/>
      <c r="K37" s="37"/>
      <c r="L37" s="31"/>
      <c r="M37" s="31"/>
      <c r="N37" s="29"/>
      <c r="O37" s="6"/>
    </row>
    <row r="38" spans="1:15" ht="15.75">
      <c r="A38" s="28"/>
      <c r="B38" s="29" t="s">
        <v>27</v>
      </c>
      <c r="C38" s="29"/>
      <c r="D38" s="37" t="s">
        <v>177</v>
      </c>
      <c r="E38" s="37"/>
      <c r="F38" s="29"/>
      <c r="G38" s="37" t="s">
        <v>190</v>
      </c>
      <c r="H38" s="37"/>
      <c r="I38" s="37" t="s">
        <v>203</v>
      </c>
      <c r="J38" s="37"/>
      <c r="K38" s="37"/>
      <c r="L38" s="31"/>
      <c r="M38" s="31"/>
      <c r="N38" s="29"/>
      <c r="O38" s="6"/>
    </row>
    <row r="39" spans="1:15" ht="15.75">
      <c r="A39" s="28"/>
      <c r="B39" s="29"/>
      <c r="C39" s="29"/>
      <c r="D39" s="29"/>
      <c r="E39" s="53"/>
      <c r="F39" s="53"/>
      <c r="G39" s="29"/>
      <c r="H39" s="53"/>
      <c r="I39" s="53"/>
      <c r="J39" s="53"/>
      <c r="K39" s="53"/>
      <c r="L39" s="53"/>
      <c r="M39" s="53"/>
      <c r="N39" s="29"/>
      <c r="O39" s="6"/>
    </row>
    <row r="40" spans="1:15" ht="15.75">
      <c r="A40" s="28"/>
      <c r="B40" s="29" t="s">
        <v>28</v>
      </c>
      <c r="C40" s="29"/>
      <c r="D40" s="29"/>
      <c r="E40" s="29"/>
      <c r="F40" s="29"/>
      <c r="G40" s="29"/>
      <c r="H40" s="29"/>
      <c r="I40" s="29"/>
      <c r="J40" s="29"/>
      <c r="K40" s="29"/>
      <c r="L40" s="29"/>
      <c r="M40" s="51">
        <f>(I28+G28)/(E28)</f>
        <v>0.15610548533213175</v>
      </c>
      <c r="N40" s="29"/>
      <c r="O40" s="6"/>
    </row>
    <row r="41" spans="1:15" ht="15.75">
      <c r="A41" s="28"/>
      <c r="B41" s="29" t="s">
        <v>29</v>
      </c>
      <c r="C41" s="29"/>
      <c r="D41" s="29"/>
      <c r="E41" s="29"/>
      <c r="F41" s="29"/>
      <c r="G41" s="29"/>
      <c r="H41" s="29"/>
      <c r="I41" s="29"/>
      <c r="J41" s="29"/>
      <c r="K41" s="29"/>
      <c r="L41" s="29"/>
      <c r="M41" s="51">
        <f>(I30+G30)/(E30)</f>
        <v>0.15610548533213175</v>
      </c>
      <c r="N41" s="29"/>
      <c r="O41" s="6"/>
    </row>
    <row r="42" spans="1:15" ht="15.75">
      <c r="A42" s="28"/>
      <c r="B42" s="29" t="s">
        <v>30</v>
      </c>
      <c r="C42" s="29"/>
      <c r="D42" s="29"/>
      <c r="E42" s="29"/>
      <c r="F42" s="29"/>
      <c r="G42" s="29"/>
      <c r="H42" s="29"/>
      <c r="I42" s="29"/>
      <c r="J42" s="29"/>
      <c r="K42" s="37" t="s">
        <v>168</v>
      </c>
      <c r="L42" s="37" t="s">
        <v>216</v>
      </c>
      <c r="M42" s="38">
        <v>60336</v>
      </c>
      <c r="N42" s="29"/>
      <c r="O42" s="6"/>
    </row>
    <row r="43" spans="1:15" ht="15.75">
      <c r="A43" s="28"/>
      <c r="B43" s="29"/>
      <c r="C43" s="29"/>
      <c r="D43" s="29"/>
      <c r="E43" s="29"/>
      <c r="F43" s="29"/>
      <c r="G43" s="29"/>
      <c r="H43" s="29"/>
      <c r="I43" s="29"/>
      <c r="J43" s="29"/>
      <c r="K43" s="29"/>
      <c r="L43" s="29"/>
      <c r="M43" s="54"/>
      <c r="N43" s="29"/>
      <c r="O43" s="6"/>
    </row>
    <row r="44" spans="1:15" ht="15.75">
      <c r="A44" s="28"/>
      <c r="B44" s="29" t="s">
        <v>31</v>
      </c>
      <c r="C44" s="29"/>
      <c r="D44" s="29"/>
      <c r="E44" s="29"/>
      <c r="F44" s="29"/>
      <c r="G44" s="29"/>
      <c r="H44" s="29"/>
      <c r="I44" s="29"/>
      <c r="J44" s="29"/>
      <c r="K44" s="37"/>
      <c r="L44" s="37"/>
      <c r="M44" s="37" t="s">
        <v>219</v>
      </c>
      <c r="N44" s="29"/>
      <c r="O44" s="6"/>
    </row>
    <row r="45" spans="1:15" ht="15.75">
      <c r="A45" s="43"/>
      <c r="B45" s="32" t="s">
        <v>32</v>
      </c>
      <c r="C45" s="32"/>
      <c r="D45" s="32"/>
      <c r="E45" s="32"/>
      <c r="F45" s="32"/>
      <c r="G45" s="32"/>
      <c r="H45" s="32"/>
      <c r="I45" s="32"/>
      <c r="J45" s="32"/>
      <c r="K45" s="55"/>
      <c r="L45" s="55"/>
      <c r="M45" s="56">
        <v>37118</v>
      </c>
      <c r="N45" s="32"/>
      <c r="O45" s="6"/>
    </row>
    <row r="46" spans="1:15" ht="15.75">
      <c r="A46" s="28"/>
      <c r="B46" s="29" t="s">
        <v>33</v>
      </c>
      <c r="C46" s="29"/>
      <c r="D46" s="29"/>
      <c r="E46" s="29"/>
      <c r="F46" s="29"/>
      <c r="G46" s="29"/>
      <c r="H46" s="29"/>
      <c r="I46" s="31"/>
      <c r="J46" s="29">
        <f>M46-K46+1</f>
        <v>89</v>
      </c>
      <c r="K46" s="58">
        <v>36937</v>
      </c>
      <c r="L46" s="59"/>
      <c r="M46" s="58">
        <v>37025</v>
      </c>
      <c r="N46" s="29"/>
      <c r="O46" s="6"/>
    </row>
    <row r="47" spans="1:15" ht="15.75">
      <c r="A47" s="28"/>
      <c r="B47" s="29" t="s">
        <v>34</v>
      </c>
      <c r="C47" s="29"/>
      <c r="D47" s="29"/>
      <c r="E47" s="29"/>
      <c r="F47" s="29"/>
      <c r="G47" s="29"/>
      <c r="H47" s="29"/>
      <c r="I47" s="31"/>
      <c r="J47" s="29">
        <f>M47-K47+1</f>
        <v>92</v>
      </c>
      <c r="K47" s="58">
        <v>37026</v>
      </c>
      <c r="L47" s="59"/>
      <c r="M47" s="58">
        <v>37117</v>
      </c>
      <c r="N47" s="29"/>
      <c r="O47" s="6"/>
    </row>
    <row r="48" spans="1:15" ht="15.75">
      <c r="A48" s="28"/>
      <c r="B48" s="29" t="s">
        <v>35</v>
      </c>
      <c r="C48" s="29"/>
      <c r="D48" s="29"/>
      <c r="E48" s="29"/>
      <c r="F48" s="29"/>
      <c r="G48" s="29"/>
      <c r="H48" s="29"/>
      <c r="I48" s="29"/>
      <c r="J48" s="29"/>
      <c r="K48" s="58"/>
      <c r="L48" s="59"/>
      <c r="M48" s="58" t="s">
        <v>220</v>
      </c>
      <c r="N48" s="29"/>
      <c r="O48" s="6"/>
    </row>
    <row r="49" spans="1:15" ht="15.75">
      <c r="A49" s="28"/>
      <c r="B49" s="29" t="s">
        <v>36</v>
      </c>
      <c r="C49" s="29"/>
      <c r="D49" s="29"/>
      <c r="E49" s="29"/>
      <c r="F49" s="29"/>
      <c r="G49" s="29"/>
      <c r="H49" s="29"/>
      <c r="I49" s="29"/>
      <c r="J49" s="29"/>
      <c r="K49" s="58"/>
      <c r="L49" s="59"/>
      <c r="M49" s="58" t="s">
        <v>221</v>
      </c>
      <c r="N49" s="29"/>
      <c r="O49" s="6"/>
    </row>
    <row r="50" spans="1:15" ht="15.75">
      <c r="A50" s="28"/>
      <c r="B50" s="29" t="s">
        <v>37</v>
      </c>
      <c r="C50" s="29"/>
      <c r="D50" s="29"/>
      <c r="E50" s="29"/>
      <c r="F50" s="29"/>
      <c r="G50" s="29"/>
      <c r="H50" s="29"/>
      <c r="I50" s="29"/>
      <c r="J50" s="29"/>
      <c r="K50" s="58"/>
      <c r="L50" s="59"/>
      <c r="M50" s="58">
        <v>37107</v>
      </c>
      <c r="N50" s="29"/>
      <c r="O50" s="6"/>
    </row>
    <row r="51" spans="1:15" ht="15.75">
      <c r="A51" s="28"/>
      <c r="B51" s="29"/>
      <c r="C51" s="29"/>
      <c r="D51" s="29"/>
      <c r="E51" s="29"/>
      <c r="F51" s="29"/>
      <c r="G51" s="29"/>
      <c r="H51" s="29"/>
      <c r="I51" s="29"/>
      <c r="J51" s="29"/>
      <c r="K51" s="29"/>
      <c r="L51" s="29"/>
      <c r="M51" s="60"/>
      <c r="N51" s="29"/>
      <c r="O51" s="6"/>
    </row>
    <row r="52" spans="1:15" ht="15.75">
      <c r="A52" s="7"/>
      <c r="B52" s="9"/>
      <c r="C52" s="9"/>
      <c r="D52" s="9"/>
      <c r="E52" s="9"/>
      <c r="F52" s="9"/>
      <c r="G52" s="9"/>
      <c r="H52" s="9"/>
      <c r="I52" s="9"/>
      <c r="J52" s="9"/>
      <c r="K52" s="9"/>
      <c r="L52" s="9"/>
      <c r="M52" s="61"/>
      <c r="N52" s="9"/>
      <c r="O52" s="6"/>
    </row>
    <row r="53" spans="1:15" ht="16.5" thickBot="1">
      <c r="A53" s="134"/>
      <c r="B53" s="135" t="s">
        <v>229</v>
      </c>
      <c r="C53" s="136"/>
      <c r="D53" s="136"/>
      <c r="E53" s="136"/>
      <c r="F53" s="136"/>
      <c r="G53" s="136"/>
      <c r="H53" s="136"/>
      <c r="I53" s="136"/>
      <c r="J53" s="136"/>
      <c r="K53" s="136"/>
      <c r="L53" s="136"/>
      <c r="M53" s="137"/>
      <c r="N53" s="138"/>
      <c r="O53" s="6"/>
    </row>
    <row r="54" spans="1:15" ht="15.75">
      <c r="A54" s="2"/>
      <c r="B54" s="5"/>
      <c r="C54" s="5"/>
      <c r="D54" s="5"/>
      <c r="E54" s="5"/>
      <c r="F54" s="5"/>
      <c r="G54" s="5"/>
      <c r="H54" s="5"/>
      <c r="I54" s="5"/>
      <c r="J54" s="5"/>
      <c r="K54" s="5"/>
      <c r="L54" s="5"/>
      <c r="M54" s="62"/>
      <c r="N54" s="5"/>
      <c r="O54" s="6"/>
    </row>
    <row r="55" spans="1:15" ht="15.75">
      <c r="A55" s="7"/>
      <c r="B55" s="63" t="s">
        <v>39</v>
      </c>
      <c r="C55" s="15"/>
      <c r="D55" s="15"/>
      <c r="E55" s="9"/>
      <c r="F55" s="9"/>
      <c r="G55" s="9"/>
      <c r="H55" s="9"/>
      <c r="I55" s="9"/>
      <c r="J55" s="9"/>
      <c r="K55" s="9"/>
      <c r="L55" s="9"/>
      <c r="M55" s="64"/>
      <c r="N55" s="9"/>
      <c r="O55" s="6"/>
    </row>
    <row r="56" spans="1:15" ht="15.75">
      <c r="A56" s="7"/>
      <c r="B56" s="15"/>
      <c r="C56" s="15"/>
      <c r="D56" s="15"/>
      <c r="E56" s="9"/>
      <c r="F56" s="9"/>
      <c r="G56" s="9"/>
      <c r="H56" s="9"/>
      <c r="I56" s="9"/>
      <c r="J56" s="9"/>
      <c r="K56" s="9"/>
      <c r="L56" s="9"/>
      <c r="M56" s="64"/>
      <c r="N56" s="9"/>
      <c r="O56" s="6"/>
    </row>
    <row r="57" spans="1:15" s="156" customFormat="1" ht="47.25">
      <c r="A57" s="150"/>
      <c r="B57" s="151" t="s">
        <v>40</v>
      </c>
      <c r="C57" s="152" t="s">
        <v>167</v>
      </c>
      <c r="D57" s="152"/>
      <c r="E57" s="152" t="s">
        <v>180</v>
      </c>
      <c r="F57" s="152"/>
      <c r="G57" s="152" t="s">
        <v>191</v>
      </c>
      <c r="H57" s="152"/>
      <c r="I57" s="152" t="s">
        <v>204</v>
      </c>
      <c r="J57" s="152"/>
      <c r="K57" s="152" t="s">
        <v>209</v>
      </c>
      <c r="L57" s="152"/>
      <c r="M57" s="153" t="s">
        <v>222</v>
      </c>
      <c r="N57" s="154"/>
      <c r="O57" s="155"/>
    </row>
    <row r="58" spans="1:15" ht="15.75">
      <c r="A58" s="28"/>
      <c r="B58" s="29" t="s">
        <v>41</v>
      </c>
      <c r="C58" s="65">
        <v>73021</v>
      </c>
      <c r="D58" s="65"/>
      <c r="E58" s="65">
        <v>84606</v>
      </c>
      <c r="F58" s="65"/>
      <c r="G58" s="65">
        <f>10220+7</f>
        <v>10227</v>
      </c>
      <c r="H58" s="65"/>
      <c r="I58" s="65">
        <v>10077</v>
      </c>
      <c r="J58" s="65"/>
      <c r="K58" s="65">
        <v>0</v>
      </c>
      <c r="L58" s="65"/>
      <c r="M58" s="66">
        <f>E58-G58+I58-K58</f>
        <v>84456</v>
      </c>
      <c r="N58" s="29"/>
      <c r="O58" s="6"/>
    </row>
    <row r="59" spans="1:15" ht="15.75">
      <c r="A59" s="28"/>
      <c r="B59" s="29" t="s">
        <v>42</v>
      </c>
      <c r="C59" s="65">
        <v>506</v>
      </c>
      <c r="D59" s="65"/>
      <c r="E59" s="65">
        <v>0</v>
      </c>
      <c r="F59" s="65"/>
      <c r="G59" s="65">
        <v>54</v>
      </c>
      <c r="H59" s="65"/>
      <c r="I59" s="65">
        <v>54</v>
      </c>
      <c r="J59" s="65"/>
      <c r="K59" s="65">
        <v>0</v>
      </c>
      <c r="L59" s="65"/>
      <c r="M59" s="66">
        <f>E59-G59+I59-K59</f>
        <v>0</v>
      </c>
      <c r="N59" s="29"/>
      <c r="O59" s="6"/>
    </row>
    <row r="60" spans="1:15" ht="15.75">
      <c r="A60" s="28"/>
      <c r="B60" s="29"/>
      <c r="C60" s="65"/>
      <c r="D60" s="65"/>
      <c r="E60" s="65"/>
      <c r="F60" s="65"/>
      <c r="G60" s="65"/>
      <c r="H60" s="65"/>
      <c r="I60" s="65"/>
      <c r="J60" s="65"/>
      <c r="K60" s="65"/>
      <c r="L60" s="65"/>
      <c r="M60" s="66"/>
      <c r="N60" s="29"/>
      <c r="O60" s="6"/>
    </row>
    <row r="61" spans="1:15" ht="15.75">
      <c r="A61" s="28"/>
      <c r="B61" s="29" t="s">
        <v>43</v>
      </c>
      <c r="C61" s="65">
        <f>SUM(C58:C60)</f>
        <v>73527</v>
      </c>
      <c r="D61" s="65"/>
      <c r="E61" s="65">
        <f>SUM(E58:E60)</f>
        <v>84606</v>
      </c>
      <c r="F61" s="65"/>
      <c r="G61" s="65">
        <f>SUM(G58:G60)</f>
        <v>10281</v>
      </c>
      <c r="H61" s="65"/>
      <c r="I61" s="65">
        <f>SUM(I58:I60)</f>
        <v>10131</v>
      </c>
      <c r="J61" s="65"/>
      <c r="K61" s="65">
        <f>SUM(K58:K60)</f>
        <v>0</v>
      </c>
      <c r="L61" s="65"/>
      <c r="M61" s="67">
        <f>SUM(M58:M60)</f>
        <v>84456</v>
      </c>
      <c r="N61" s="29"/>
      <c r="O61" s="6"/>
    </row>
    <row r="62" spans="1:15" ht="15.75">
      <c r="A62" s="28"/>
      <c r="B62" s="29"/>
      <c r="C62" s="65"/>
      <c r="D62" s="65"/>
      <c r="E62" s="65"/>
      <c r="F62" s="65"/>
      <c r="G62" s="65"/>
      <c r="H62" s="65"/>
      <c r="I62" s="65"/>
      <c r="J62" s="65"/>
      <c r="K62" s="65"/>
      <c r="L62" s="65"/>
      <c r="M62" s="67"/>
      <c r="N62" s="29"/>
      <c r="O62" s="6"/>
    </row>
    <row r="63" spans="1:15" ht="15.75">
      <c r="A63" s="7"/>
      <c r="B63" s="144" t="s">
        <v>44</v>
      </c>
      <c r="C63" s="68"/>
      <c r="D63" s="68"/>
      <c r="E63" s="68"/>
      <c r="F63" s="68"/>
      <c r="G63" s="69"/>
      <c r="H63" s="68"/>
      <c r="I63" s="68"/>
      <c r="J63" s="68"/>
      <c r="K63" s="68"/>
      <c r="L63" s="68"/>
      <c r="M63" s="70"/>
      <c r="N63" s="9"/>
      <c r="O63" s="6"/>
    </row>
    <row r="64" spans="1:15" ht="15.75">
      <c r="A64" s="7"/>
      <c r="B64" s="9"/>
      <c r="C64" s="68"/>
      <c r="D64" s="68"/>
      <c r="E64" s="68"/>
      <c r="F64" s="68"/>
      <c r="G64" s="68"/>
      <c r="H64" s="68"/>
      <c r="I64" s="68"/>
      <c r="J64" s="68"/>
      <c r="K64" s="68"/>
      <c r="L64" s="68"/>
      <c r="M64" s="70"/>
      <c r="N64" s="9"/>
      <c r="O64" s="6"/>
    </row>
    <row r="65" spans="1:15" ht="15.75">
      <c r="A65" s="28"/>
      <c r="B65" s="29" t="s">
        <v>41</v>
      </c>
      <c r="C65" s="65">
        <v>79997</v>
      </c>
      <c r="D65" s="65"/>
      <c r="E65" s="66">
        <v>91696</v>
      </c>
      <c r="F65" s="65"/>
      <c r="G65" s="65">
        <f>10966+190</f>
        <v>11156</v>
      </c>
      <c r="H65" s="65"/>
      <c r="I65" s="65">
        <v>11109</v>
      </c>
      <c r="J65" s="65"/>
      <c r="K65" s="65"/>
      <c r="L65" s="65"/>
      <c r="M65" s="66">
        <f>E65-G65+I65-K65</f>
        <v>91649</v>
      </c>
      <c r="N65" s="29"/>
      <c r="O65" s="6"/>
    </row>
    <row r="66" spans="1:15" ht="15.75">
      <c r="A66" s="28"/>
      <c r="B66" s="29" t="s">
        <v>42</v>
      </c>
      <c r="C66" s="65">
        <v>611</v>
      </c>
      <c r="D66" s="65"/>
      <c r="E66" s="66">
        <v>0</v>
      </c>
      <c r="F66" s="65"/>
      <c r="G66" s="65">
        <v>80</v>
      </c>
      <c r="H66" s="65"/>
      <c r="I66" s="65">
        <v>80</v>
      </c>
      <c r="J66" s="65"/>
      <c r="K66" s="65"/>
      <c r="L66" s="65"/>
      <c r="M66" s="66">
        <f>E66-G66+I66-K66</f>
        <v>0</v>
      </c>
      <c r="N66" s="29"/>
      <c r="O66" s="6"/>
    </row>
    <row r="67" spans="1:15" ht="15.75">
      <c r="A67" s="28"/>
      <c r="B67" s="65"/>
      <c r="C67" s="65"/>
      <c r="D67" s="65"/>
      <c r="E67" s="66"/>
      <c r="F67" s="65"/>
      <c r="G67" s="65"/>
      <c r="H67" s="65"/>
      <c r="I67" s="65"/>
      <c r="J67" s="65"/>
      <c r="K67" s="65"/>
      <c r="L67" s="65"/>
      <c r="M67" s="66"/>
      <c r="N67" s="29"/>
      <c r="O67" s="6"/>
    </row>
    <row r="68" spans="1:15" ht="15.75">
      <c r="A68" s="28"/>
      <c r="B68" s="29" t="s">
        <v>43</v>
      </c>
      <c r="C68" s="65">
        <f>SUM(C65:C67)</f>
        <v>80608</v>
      </c>
      <c r="D68" s="65"/>
      <c r="E68" s="65">
        <v>91696</v>
      </c>
      <c r="F68" s="65"/>
      <c r="G68" s="65">
        <f>SUM(G65:G67)</f>
        <v>11236</v>
      </c>
      <c r="H68" s="65"/>
      <c r="I68" s="65">
        <f>SUM(I65:I67)</f>
        <v>11189</v>
      </c>
      <c r="J68" s="65"/>
      <c r="K68" s="65">
        <f>SUM(K65:K67)</f>
        <v>0</v>
      </c>
      <c r="L68" s="65"/>
      <c r="M68" s="65">
        <f>SUM(M65:M67)</f>
        <v>91649</v>
      </c>
      <c r="N68" s="29"/>
      <c r="O68" s="6"/>
    </row>
    <row r="69" spans="1:15" ht="15.75">
      <c r="A69" s="28"/>
      <c r="B69" s="29"/>
      <c r="C69" s="65"/>
      <c r="D69" s="65"/>
      <c r="E69" s="67"/>
      <c r="F69" s="65"/>
      <c r="G69" s="65"/>
      <c r="H69" s="65"/>
      <c r="I69" s="65"/>
      <c r="J69" s="65"/>
      <c r="K69" s="65"/>
      <c r="L69" s="65"/>
      <c r="M69" s="67"/>
      <c r="N69" s="29"/>
      <c r="O69" s="6"/>
    </row>
    <row r="70" spans="1:15" ht="15.75">
      <c r="A70" s="28"/>
      <c r="B70" s="29" t="s">
        <v>45</v>
      </c>
      <c r="C70" s="65">
        <v>0</v>
      </c>
      <c r="D70" s="65"/>
      <c r="E70" s="65">
        <v>0</v>
      </c>
      <c r="F70" s="65"/>
      <c r="G70" s="65"/>
      <c r="H70" s="65"/>
      <c r="I70" s="65"/>
      <c r="J70" s="65"/>
      <c r="K70" s="65"/>
      <c r="L70" s="65"/>
      <c r="M70" s="65">
        <f>E70+G70</f>
        <v>0</v>
      </c>
      <c r="N70" s="29"/>
      <c r="O70" s="6"/>
    </row>
    <row r="71" spans="1:15" ht="15.75">
      <c r="A71" s="28"/>
      <c r="B71" s="29" t="s">
        <v>46</v>
      </c>
      <c r="C71" s="65">
        <v>0</v>
      </c>
      <c r="D71" s="65"/>
      <c r="E71" s="67">
        <v>2926</v>
      </c>
      <c r="F71" s="65"/>
      <c r="G71" s="65"/>
      <c r="H71" s="65"/>
      <c r="I71" s="65">
        <v>0</v>
      </c>
      <c r="J71" s="65"/>
      <c r="K71" s="65"/>
      <c r="L71" s="65"/>
      <c r="M71" s="67">
        <f>E71+I71</f>
        <v>2926</v>
      </c>
      <c r="N71" s="29"/>
      <c r="O71" s="6"/>
    </row>
    <row r="72" spans="1:15" ht="15.75">
      <c r="A72" s="28"/>
      <c r="B72" s="29" t="s">
        <v>47</v>
      </c>
      <c r="C72" s="65">
        <v>40958</v>
      </c>
      <c r="D72" s="65"/>
      <c r="E72" s="67">
        <v>18367</v>
      </c>
      <c r="F72" s="65"/>
      <c r="G72" s="65">
        <f>G68+G61</f>
        <v>21517</v>
      </c>
      <c r="H72" s="65"/>
      <c r="I72" s="65">
        <f>-I68-I61</f>
        <v>-21320</v>
      </c>
      <c r="J72" s="65"/>
      <c r="K72" s="65"/>
      <c r="L72" s="65"/>
      <c r="M72" s="67">
        <f>E72+G88+I72</f>
        <v>18367</v>
      </c>
      <c r="N72" s="29"/>
      <c r="O72" s="6"/>
    </row>
    <row r="73" spans="1:15" ht="15.75">
      <c r="A73" s="28"/>
      <c r="B73" s="29" t="s">
        <v>48</v>
      </c>
      <c r="C73" s="65">
        <v>0</v>
      </c>
      <c r="D73" s="65"/>
      <c r="E73" s="67">
        <v>424</v>
      </c>
      <c r="F73" s="65"/>
      <c r="G73" s="65"/>
      <c r="H73" s="65"/>
      <c r="I73" s="65">
        <v>-197</v>
      </c>
      <c r="J73" s="65"/>
      <c r="K73" s="65"/>
      <c r="L73" s="65"/>
      <c r="M73" s="67">
        <f>-I73+E73</f>
        <v>621</v>
      </c>
      <c r="N73" s="29"/>
      <c r="O73" s="6"/>
    </row>
    <row r="74" spans="1:15" ht="15.75">
      <c r="A74" s="28"/>
      <c r="B74" s="29" t="s">
        <v>49</v>
      </c>
      <c r="C74" s="65">
        <v>-95</v>
      </c>
      <c r="D74" s="65"/>
      <c r="E74" s="67">
        <v>-95</v>
      </c>
      <c r="F74" s="65"/>
      <c r="G74" s="65">
        <v>0</v>
      </c>
      <c r="H74" s="65"/>
      <c r="I74" s="65"/>
      <c r="J74" s="65"/>
      <c r="K74" s="65"/>
      <c r="L74" s="65"/>
      <c r="M74" s="67">
        <f>E74+G74</f>
        <v>-95</v>
      </c>
      <c r="N74" s="29"/>
      <c r="O74" s="6"/>
    </row>
    <row r="75" spans="1:15" ht="15.75">
      <c r="A75" s="28"/>
      <c r="B75" s="29" t="s">
        <v>50</v>
      </c>
      <c r="C75" s="65">
        <v>0</v>
      </c>
      <c r="D75" s="65"/>
      <c r="E75" s="67">
        <v>0</v>
      </c>
      <c r="F75" s="65"/>
      <c r="G75" s="65"/>
      <c r="H75" s="65"/>
      <c r="I75" s="71"/>
      <c r="J75" s="65"/>
      <c r="K75" s="65"/>
      <c r="L75" s="65"/>
      <c r="M75" s="67">
        <v>0</v>
      </c>
      <c r="N75" s="29"/>
      <c r="O75" s="6"/>
    </row>
    <row r="76" spans="1:15" ht="15.75">
      <c r="A76" s="28"/>
      <c r="B76" s="29" t="s">
        <v>19</v>
      </c>
      <c r="C76" s="67">
        <f>SUM(C68:C74)+C61</f>
        <v>194998</v>
      </c>
      <c r="D76" s="67"/>
      <c r="E76" s="67">
        <f>SUM(E68:E75)+E61</f>
        <v>197924</v>
      </c>
      <c r="F76" s="65"/>
      <c r="G76" s="65">
        <f>G72-G74</f>
        <v>21517</v>
      </c>
      <c r="H76" s="65"/>
      <c r="I76" s="65"/>
      <c r="J76" s="65"/>
      <c r="K76" s="65"/>
      <c r="L76" s="65"/>
      <c r="M76" s="67">
        <f>SUM(M68:M75)+M61</f>
        <v>197924</v>
      </c>
      <c r="N76" s="29"/>
      <c r="O76" s="6"/>
    </row>
    <row r="77" spans="1:15" ht="15.75">
      <c r="A77" s="28"/>
      <c r="B77" s="65"/>
      <c r="C77" s="65"/>
      <c r="D77" s="65"/>
      <c r="E77" s="65"/>
      <c r="F77" s="65"/>
      <c r="G77" s="65"/>
      <c r="H77" s="65"/>
      <c r="I77" s="65"/>
      <c r="J77" s="65"/>
      <c r="K77" s="65"/>
      <c r="L77" s="65"/>
      <c r="M77" s="65"/>
      <c r="N77" s="29"/>
      <c r="O77" s="6"/>
    </row>
    <row r="78" spans="1:15" ht="15.75">
      <c r="A78" s="7"/>
      <c r="B78" s="68"/>
      <c r="C78" s="9"/>
      <c r="D78" s="9"/>
      <c r="E78" s="9"/>
      <c r="F78" s="9"/>
      <c r="G78" s="20" t="s">
        <v>192</v>
      </c>
      <c r="H78" s="9"/>
      <c r="I78" s="9"/>
      <c r="J78" s="9"/>
      <c r="K78" s="23"/>
      <c r="L78" s="9"/>
      <c r="M78" s="20" t="s">
        <v>192</v>
      </c>
      <c r="N78" s="9"/>
      <c r="O78" s="6"/>
    </row>
    <row r="79" spans="1:15" ht="15.75">
      <c r="A79" s="7"/>
      <c r="B79" s="63" t="s">
        <v>51</v>
      </c>
      <c r="C79" s="17"/>
      <c r="D79" s="17" t="s">
        <v>178</v>
      </c>
      <c r="E79" s="17" t="s">
        <v>181</v>
      </c>
      <c r="F79" s="17"/>
      <c r="G79" s="20" t="s">
        <v>193</v>
      </c>
      <c r="H79" s="17"/>
      <c r="I79" s="17" t="s">
        <v>178</v>
      </c>
      <c r="J79" s="20"/>
      <c r="K79" s="20" t="s">
        <v>181</v>
      </c>
      <c r="L79" s="20"/>
      <c r="M79" s="20" t="s">
        <v>223</v>
      </c>
      <c r="N79" s="17"/>
      <c r="O79" s="6"/>
    </row>
    <row r="80" spans="1:15" ht="15.75">
      <c r="A80" s="28"/>
      <c r="B80" s="29" t="s">
        <v>52</v>
      </c>
      <c r="C80" s="29"/>
      <c r="D80" s="29">
        <v>0</v>
      </c>
      <c r="E80" s="29">
        <v>0</v>
      </c>
      <c r="F80" s="29"/>
      <c r="G80" s="65">
        <f>SUM(C80:E80)</f>
        <v>0</v>
      </c>
      <c r="H80" s="29"/>
      <c r="I80" s="29">
        <v>0</v>
      </c>
      <c r="J80" s="29"/>
      <c r="K80" s="65">
        <f>SUM(G80:I80)</f>
        <v>0</v>
      </c>
      <c r="L80" s="29"/>
      <c r="M80" s="66">
        <v>0</v>
      </c>
      <c r="N80" s="29"/>
      <c r="O80" s="6"/>
    </row>
    <row r="81" spans="1:15" ht="15.75">
      <c r="A81" s="28"/>
      <c r="B81" s="29" t="s">
        <v>53</v>
      </c>
      <c r="C81" s="53"/>
      <c r="D81" s="29">
        <v>10220</v>
      </c>
      <c r="E81" s="29">
        <v>10966</v>
      </c>
      <c r="F81" s="29"/>
      <c r="G81" s="65">
        <f>E81+D81</f>
        <v>21186</v>
      </c>
      <c r="H81" s="29"/>
      <c r="I81" s="29"/>
      <c r="J81" s="29"/>
      <c r="K81" s="65">
        <v>0</v>
      </c>
      <c r="L81" s="29"/>
      <c r="M81" s="66"/>
      <c r="N81" s="29"/>
      <c r="O81" s="6"/>
    </row>
    <row r="82" spans="1:15" ht="15.75">
      <c r="A82" s="28"/>
      <c r="B82" s="29" t="s">
        <v>54</v>
      </c>
      <c r="C82" s="29"/>
      <c r="D82" s="29"/>
      <c r="E82" s="29"/>
      <c r="F82" s="29"/>
      <c r="G82" s="65"/>
      <c r="H82" s="29"/>
      <c r="I82" s="29">
        <f>1438+167+1591+230+1525+220-1979+20</f>
        <v>3212</v>
      </c>
      <c r="J82" s="29"/>
      <c r="K82" s="65">
        <f>2967+160+2853+169+3097+193+14-5679</f>
        <v>3774</v>
      </c>
      <c r="L82" s="29"/>
      <c r="M82" s="66">
        <f>K82+I82</f>
        <v>6986</v>
      </c>
      <c r="N82" s="29"/>
      <c r="O82" s="6"/>
    </row>
    <row r="83" spans="1:15" ht="15.75">
      <c r="A83" s="28"/>
      <c r="B83" s="29" t="s">
        <v>55</v>
      </c>
      <c r="C83" s="29"/>
      <c r="D83" s="29"/>
      <c r="E83" s="29"/>
      <c r="F83" s="29"/>
      <c r="G83" s="65"/>
      <c r="H83" s="29"/>
      <c r="I83" s="29"/>
      <c r="J83" s="29"/>
      <c r="K83" s="65"/>
      <c r="L83" s="29"/>
      <c r="M83" s="66">
        <f>125+70+123</f>
        <v>318</v>
      </c>
      <c r="N83" s="29"/>
      <c r="O83" s="6"/>
    </row>
    <row r="84" spans="1:15" ht="15.75">
      <c r="A84" s="28"/>
      <c r="B84" s="29" t="s">
        <v>56</v>
      </c>
      <c r="C84" s="29"/>
      <c r="D84" s="29"/>
      <c r="E84" s="29"/>
      <c r="F84" s="29"/>
      <c r="G84" s="65"/>
      <c r="H84" s="29"/>
      <c r="I84" s="29"/>
      <c r="J84" s="29"/>
      <c r="K84" s="65"/>
      <c r="L84" s="29"/>
      <c r="M84" s="66">
        <v>0</v>
      </c>
      <c r="N84" s="29"/>
      <c r="O84" s="6"/>
    </row>
    <row r="85" spans="1:15" ht="15.75">
      <c r="A85" s="28"/>
      <c r="B85" s="29" t="s">
        <v>57</v>
      </c>
      <c r="C85" s="29"/>
      <c r="D85" s="29"/>
      <c r="E85" s="29"/>
      <c r="F85" s="29"/>
      <c r="G85" s="65"/>
      <c r="H85" s="29"/>
      <c r="I85" s="29"/>
      <c r="J85" s="29"/>
      <c r="K85" s="65"/>
      <c r="L85" s="29"/>
      <c r="M85" s="66">
        <v>0</v>
      </c>
      <c r="N85" s="29"/>
      <c r="O85" s="6"/>
    </row>
    <row r="86" spans="1:15" ht="15.75">
      <c r="A86" s="28"/>
      <c r="B86" s="29" t="s">
        <v>58</v>
      </c>
      <c r="C86" s="29"/>
      <c r="D86" s="65">
        <f>SUM(D80:D85)</f>
        <v>10220</v>
      </c>
      <c r="E86" s="65">
        <f>SUM(E80:E85)</f>
        <v>10966</v>
      </c>
      <c r="F86" s="29"/>
      <c r="G86" s="65">
        <f>SUM(G80:G85)</f>
        <v>21186</v>
      </c>
      <c r="H86" s="29"/>
      <c r="I86" s="65">
        <f>SUM(I80:I85)</f>
        <v>3212</v>
      </c>
      <c r="J86" s="29"/>
      <c r="K86" s="65">
        <f>SUM(K80:K85)</f>
        <v>3774</v>
      </c>
      <c r="L86" s="29"/>
      <c r="M86" s="67">
        <f>SUM(M80:M85)</f>
        <v>7304</v>
      </c>
      <c r="N86" s="29"/>
      <c r="O86" s="6"/>
    </row>
    <row r="87" spans="1:15" ht="15.75">
      <c r="A87" s="28"/>
      <c r="B87" s="29" t="s">
        <v>59</v>
      </c>
      <c r="C87" s="29"/>
      <c r="D87" s="65">
        <f>G59</f>
        <v>54</v>
      </c>
      <c r="E87" s="65">
        <f>G66</f>
        <v>80</v>
      </c>
      <c r="F87" s="29"/>
      <c r="G87" s="65">
        <f>E87+D87</f>
        <v>134</v>
      </c>
      <c r="H87" s="29"/>
      <c r="I87" s="65">
        <v>0</v>
      </c>
      <c r="J87" s="29"/>
      <c r="K87" s="65">
        <v>0</v>
      </c>
      <c r="L87" s="29"/>
      <c r="M87" s="66">
        <f>-G87</f>
        <v>-134</v>
      </c>
      <c r="N87" s="29"/>
      <c r="O87" s="6"/>
    </row>
    <row r="88" spans="1:15" ht="15.75">
      <c r="A88" s="28"/>
      <c r="B88" s="29" t="s">
        <v>60</v>
      </c>
      <c r="C88" s="29"/>
      <c r="D88" s="65">
        <f>D86+D87</f>
        <v>10274</v>
      </c>
      <c r="E88" s="65">
        <f>E86+E87</f>
        <v>11046</v>
      </c>
      <c r="F88" s="29"/>
      <c r="G88" s="65">
        <f>G86+G87</f>
        <v>21320</v>
      </c>
      <c r="H88" s="29"/>
      <c r="I88" s="65">
        <f>I86+I87</f>
        <v>3212</v>
      </c>
      <c r="J88" s="29"/>
      <c r="K88" s="65">
        <f>K86+K87</f>
        <v>3774</v>
      </c>
      <c r="L88" s="29"/>
      <c r="M88" s="67">
        <f>M86+M87</f>
        <v>7170</v>
      </c>
      <c r="N88" s="29"/>
      <c r="O88" s="6"/>
    </row>
    <row r="89" spans="1:15" ht="15.75">
      <c r="A89" s="28"/>
      <c r="B89" s="157" t="s">
        <v>61</v>
      </c>
      <c r="C89" s="72"/>
      <c r="D89" s="72"/>
      <c r="E89" s="29"/>
      <c r="F89" s="29"/>
      <c r="G89" s="29"/>
      <c r="H89" s="29"/>
      <c r="I89" s="29"/>
      <c r="J89" s="29"/>
      <c r="K89" s="65"/>
      <c r="L89" s="29"/>
      <c r="M89" s="66"/>
      <c r="N89" s="29"/>
      <c r="O89" s="6"/>
    </row>
    <row r="90" spans="1:15" ht="15.75">
      <c r="A90" s="28">
        <v>1</v>
      </c>
      <c r="B90" s="29" t="s">
        <v>62</v>
      </c>
      <c r="C90" s="29"/>
      <c r="D90" s="29"/>
      <c r="E90" s="29"/>
      <c r="F90" s="29"/>
      <c r="G90" s="29"/>
      <c r="H90" s="29"/>
      <c r="I90" s="29"/>
      <c r="J90" s="29"/>
      <c r="K90" s="29"/>
      <c r="L90" s="29"/>
      <c r="M90" s="66">
        <v>-4</v>
      </c>
      <c r="N90" s="29"/>
      <c r="O90" s="6"/>
    </row>
    <row r="91" spans="1:15" ht="15.75">
      <c r="A91" s="28">
        <v>2</v>
      </c>
      <c r="B91" s="29" t="s">
        <v>63</v>
      </c>
      <c r="C91" s="29"/>
      <c r="D91" s="29"/>
      <c r="E91" s="29"/>
      <c r="F91" s="29"/>
      <c r="G91" s="29"/>
      <c r="H91" s="29"/>
      <c r="I91" s="29"/>
      <c r="J91" s="29"/>
      <c r="K91" s="29"/>
      <c r="L91" s="29"/>
      <c r="M91" s="66">
        <v>-268</v>
      </c>
      <c r="N91" s="29"/>
      <c r="O91" s="6"/>
    </row>
    <row r="92" spans="1:15" ht="15.75">
      <c r="A92" s="28">
        <v>3</v>
      </c>
      <c r="B92" s="29" t="s">
        <v>64</v>
      </c>
      <c r="C92" s="29"/>
      <c r="D92" s="29"/>
      <c r="E92" s="29"/>
      <c r="F92" s="29"/>
      <c r="G92" s="29"/>
      <c r="H92" s="29"/>
      <c r="I92" s="29"/>
      <c r="J92" s="29"/>
      <c r="K92" s="29"/>
      <c r="L92" s="29"/>
      <c r="M92" s="66">
        <v>-2385</v>
      </c>
      <c r="N92" s="29"/>
      <c r="O92" s="6"/>
    </row>
    <row r="93" spans="1:15" ht="15.75">
      <c r="A93" s="28">
        <v>4</v>
      </c>
      <c r="B93" s="29" t="s">
        <v>227</v>
      </c>
      <c r="C93" s="29"/>
      <c r="D93" s="29"/>
      <c r="E93" s="29"/>
      <c r="F93" s="29"/>
      <c r="G93" s="29"/>
      <c r="H93" s="29"/>
      <c r="I93" s="29"/>
      <c r="J93" s="29"/>
      <c r="K93" s="29"/>
      <c r="L93" s="29"/>
      <c r="M93" s="66">
        <v>-159</v>
      </c>
      <c r="N93" s="29"/>
      <c r="O93" s="6"/>
    </row>
    <row r="94" spans="1:15" ht="15.75">
      <c r="A94" s="28">
        <v>4</v>
      </c>
      <c r="B94" s="29" t="s">
        <v>65</v>
      </c>
      <c r="C94" s="29"/>
      <c r="D94" s="29"/>
      <c r="E94" s="29"/>
      <c r="F94" s="29"/>
      <c r="G94" s="29"/>
      <c r="H94" s="29"/>
      <c r="I94" s="29"/>
      <c r="J94" s="29"/>
      <c r="K94" s="29"/>
      <c r="L94" s="29"/>
      <c r="M94" s="66">
        <v>-3</v>
      </c>
      <c r="N94" s="29"/>
      <c r="O94" s="6"/>
    </row>
    <row r="95" spans="1:15" ht="15.75">
      <c r="A95" s="28">
        <v>5</v>
      </c>
      <c r="B95" s="29" t="s">
        <v>66</v>
      </c>
      <c r="C95" s="29"/>
      <c r="D95" s="29"/>
      <c r="E95" s="29"/>
      <c r="F95" s="29"/>
      <c r="G95" s="29"/>
      <c r="H95" s="29"/>
      <c r="I95" s="29"/>
      <c r="J95" s="29"/>
      <c r="K95" s="29"/>
      <c r="L95" s="29"/>
      <c r="M95" s="66">
        <v>-252</v>
      </c>
      <c r="N95" s="29"/>
      <c r="O95" s="6"/>
    </row>
    <row r="96" spans="1:15" ht="15.75">
      <c r="A96" s="28">
        <v>6</v>
      </c>
      <c r="B96" s="29" t="s">
        <v>67</v>
      </c>
      <c r="C96" s="29"/>
      <c r="D96" s="29"/>
      <c r="E96" s="29"/>
      <c r="F96" s="29"/>
      <c r="G96" s="29"/>
      <c r="H96" s="29"/>
      <c r="I96" s="29"/>
      <c r="J96" s="29"/>
      <c r="K96" s="29"/>
      <c r="L96" s="29"/>
      <c r="M96" s="66">
        <v>-173</v>
      </c>
      <c r="N96" s="29"/>
      <c r="O96" s="6"/>
    </row>
    <row r="97" spans="1:15" ht="15.75">
      <c r="A97" s="28">
        <v>7</v>
      </c>
      <c r="B97" s="29" t="s">
        <v>68</v>
      </c>
      <c r="C97" s="29"/>
      <c r="D97" s="29"/>
      <c r="E97" s="29"/>
      <c r="F97" s="29"/>
      <c r="G97" s="29"/>
      <c r="H97" s="29"/>
      <c r="I97" s="29"/>
      <c r="J97" s="29"/>
      <c r="K97" s="29"/>
      <c r="L97" s="29"/>
      <c r="M97" s="66">
        <v>0</v>
      </c>
      <c r="N97" s="29"/>
      <c r="O97" s="6"/>
    </row>
    <row r="98" spans="1:15" ht="15.75">
      <c r="A98" s="28">
        <v>8</v>
      </c>
      <c r="B98" s="29" t="s">
        <v>69</v>
      </c>
      <c r="C98" s="29"/>
      <c r="D98" s="29"/>
      <c r="E98" s="29"/>
      <c r="F98" s="29"/>
      <c r="G98" s="29"/>
      <c r="H98" s="29"/>
      <c r="I98" s="29"/>
      <c r="J98" s="29"/>
      <c r="K98" s="65">
        <f>-M98</f>
        <v>197</v>
      </c>
      <c r="L98" s="29"/>
      <c r="M98" s="66">
        <f>I73</f>
        <v>-197</v>
      </c>
      <c r="N98" s="29"/>
      <c r="O98" s="6"/>
    </row>
    <row r="99" spans="1:15" ht="15.75">
      <c r="A99" s="28">
        <v>9</v>
      </c>
      <c r="B99" s="29" t="s">
        <v>46</v>
      </c>
      <c r="C99" s="29"/>
      <c r="D99" s="29"/>
      <c r="E99" s="29"/>
      <c r="F99" s="29"/>
      <c r="G99" s="29"/>
      <c r="H99" s="29"/>
      <c r="I99" s="29"/>
      <c r="J99" s="29"/>
      <c r="K99" s="65">
        <f>-M99</f>
        <v>0</v>
      </c>
      <c r="L99" s="29"/>
      <c r="M99" s="66">
        <v>0</v>
      </c>
      <c r="N99" s="29"/>
      <c r="O99" s="6"/>
    </row>
    <row r="100" spans="1:15" ht="15.75">
      <c r="A100" s="28">
        <v>10</v>
      </c>
      <c r="B100" s="29" t="s">
        <v>228</v>
      </c>
      <c r="C100" s="29"/>
      <c r="D100" s="29"/>
      <c r="E100" s="29"/>
      <c r="F100" s="29"/>
      <c r="G100" s="29"/>
      <c r="H100" s="29"/>
      <c r="I100" s="29"/>
      <c r="J100" s="29"/>
      <c r="K100" s="29"/>
      <c r="L100" s="29"/>
      <c r="M100" s="66">
        <v>-20</v>
      </c>
      <c r="N100" s="29"/>
      <c r="O100" s="6"/>
    </row>
    <row r="101" spans="1:15" ht="15.75">
      <c r="A101" s="28">
        <v>11</v>
      </c>
      <c r="B101" s="29" t="s">
        <v>71</v>
      </c>
      <c r="C101" s="29"/>
      <c r="D101" s="29"/>
      <c r="E101" s="29"/>
      <c r="F101" s="29"/>
      <c r="G101" s="29"/>
      <c r="H101" s="29"/>
      <c r="I101" s="29"/>
      <c r="J101" s="29"/>
      <c r="K101" s="29"/>
      <c r="L101" s="29"/>
      <c r="M101" s="66">
        <f>SUM(M88:M100)*-1</f>
        <v>-3709</v>
      </c>
      <c r="N101" s="29"/>
      <c r="O101" s="6"/>
    </row>
    <row r="102" spans="1:15" ht="15.75">
      <c r="A102" s="28"/>
      <c r="B102" s="157" t="s">
        <v>72</v>
      </c>
      <c r="C102" s="72"/>
      <c r="D102" s="72"/>
      <c r="E102" s="29"/>
      <c r="F102" s="29"/>
      <c r="G102" s="29"/>
      <c r="H102" s="29"/>
      <c r="I102" s="29"/>
      <c r="J102" s="29"/>
      <c r="K102" s="29"/>
      <c r="L102" s="29"/>
      <c r="M102" s="73"/>
      <c r="N102" s="29"/>
      <c r="O102" s="6"/>
    </row>
    <row r="103" spans="1:15" ht="15.75">
      <c r="A103" s="28"/>
      <c r="B103" s="74" t="s">
        <v>73</v>
      </c>
      <c r="C103" s="72"/>
      <c r="D103" s="72"/>
      <c r="E103" s="29"/>
      <c r="F103" s="29"/>
      <c r="G103" s="29"/>
      <c r="H103" s="29"/>
      <c r="I103" s="29"/>
      <c r="J103" s="29"/>
      <c r="K103" s="65">
        <f>E72</f>
        <v>18367</v>
      </c>
      <c r="L103" s="29"/>
      <c r="M103" s="73"/>
      <c r="N103" s="29"/>
      <c r="O103" s="6"/>
    </row>
    <row r="104" spans="1:15" ht="15.75">
      <c r="A104" s="28"/>
      <c r="B104" s="74" t="s">
        <v>74</v>
      </c>
      <c r="C104" s="72"/>
      <c r="D104" s="72"/>
      <c r="E104" s="29"/>
      <c r="F104" s="29"/>
      <c r="G104" s="29"/>
      <c r="H104" s="29"/>
      <c r="I104" s="29"/>
      <c r="J104" s="29"/>
      <c r="K104" s="65">
        <f>G88</f>
        <v>21320</v>
      </c>
      <c r="L104" s="29"/>
      <c r="M104" s="73"/>
      <c r="N104" s="29"/>
      <c r="O104" s="6"/>
    </row>
    <row r="105" spans="1:15" ht="15.75">
      <c r="A105" s="75"/>
      <c r="B105" s="29" t="s">
        <v>75</v>
      </c>
      <c r="C105" s="72"/>
      <c r="D105" s="72"/>
      <c r="E105" s="29"/>
      <c r="F105" s="29"/>
      <c r="G105" s="29"/>
      <c r="H105" s="29"/>
      <c r="I105" s="29"/>
      <c r="J105" s="29"/>
      <c r="K105" s="65">
        <f>-I68-I61</f>
        <v>-21320</v>
      </c>
      <c r="L105" s="29"/>
      <c r="M105" s="73"/>
      <c r="N105" s="29"/>
      <c r="O105" s="6"/>
    </row>
    <row r="106" spans="1:15" ht="15.75">
      <c r="A106" s="28"/>
      <c r="B106" s="29" t="s">
        <v>76</v>
      </c>
      <c r="C106" s="72"/>
      <c r="D106" s="72"/>
      <c r="E106" s="29"/>
      <c r="F106" s="29"/>
      <c r="G106" s="29"/>
      <c r="H106" s="29"/>
      <c r="I106" s="29"/>
      <c r="J106" s="29"/>
      <c r="K106" s="65">
        <v>0</v>
      </c>
      <c r="L106" s="65"/>
      <c r="M106" s="66"/>
      <c r="N106" s="29"/>
      <c r="O106" s="6"/>
    </row>
    <row r="107" spans="1:15" ht="15.75">
      <c r="A107" s="28"/>
      <c r="B107" s="29" t="s">
        <v>77</v>
      </c>
      <c r="C107" s="29"/>
      <c r="D107" s="29"/>
      <c r="E107" s="29"/>
      <c r="F107" s="29"/>
      <c r="G107" s="29"/>
      <c r="H107" s="29"/>
      <c r="I107" s="29"/>
      <c r="J107" s="29"/>
      <c r="K107" s="65">
        <v>0</v>
      </c>
      <c r="L107" s="65"/>
      <c r="M107" s="66"/>
      <c r="N107" s="29"/>
      <c r="O107" s="6"/>
    </row>
    <row r="108" spans="1:15" ht="15.75">
      <c r="A108" s="28"/>
      <c r="B108" s="29" t="s">
        <v>78</v>
      </c>
      <c r="C108" s="29"/>
      <c r="D108" s="29"/>
      <c r="E108" s="29"/>
      <c r="F108" s="29"/>
      <c r="G108" s="29"/>
      <c r="H108" s="29"/>
      <c r="I108" s="29"/>
      <c r="J108" s="29"/>
      <c r="K108" s="65">
        <v>0</v>
      </c>
      <c r="L108" s="65"/>
      <c r="M108" s="66"/>
      <c r="N108" s="29"/>
      <c r="O108" s="6"/>
    </row>
    <row r="109" spans="1:15" ht="15.75">
      <c r="A109" s="28"/>
      <c r="B109" s="29" t="s">
        <v>79</v>
      </c>
      <c r="C109" s="29"/>
      <c r="D109" s="29"/>
      <c r="E109" s="29"/>
      <c r="F109" s="29"/>
      <c r="G109" s="29"/>
      <c r="H109" s="29"/>
      <c r="I109" s="29"/>
      <c r="J109" s="29"/>
      <c r="K109" s="65">
        <v>0</v>
      </c>
      <c r="L109" s="65"/>
      <c r="M109" s="66"/>
      <c r="N109" s="29"/>
      <c r="O109" s="6"/>
    </row>
    <row r="110" spans="1:15" ht="15.75">
      <c r="A110" s="28"/>
      <c r="B110" s="29" t="s">
        <v>80</v>
      </c>
      <c r="C110" s="29"/>
      <c r="D110" s="29"/>
      <c r="E110" s="29"/>
      <c r="F110" s="29"/>
      <c r="G110" s="29"/>
      <c r="H110" s="29"/>
      <c r="I110" s="29"/>
      <c r="J110" s="29"/>
      <c r="K110" s="65">
        <v>0</v>
      </c>
      <c r="L110" s="65"/>
      <c r="M110" s="66"/>
      <c r="N110" s="29"/>
      <c r="O110" s="6"/>
    </row>
    <row r="111" spans="1:15" ht="15.75">
      <c r="A111" s="28"/>
      <c r="B111" s="29" t="s">
        <v>81</v>
      </c>
      <c r="C111" s="29"/>
      <c r="D111" s="29"/>
      <c r="E111" s="29"/>
      <c r="F111" s="29"/>
      <c r="G111" s="29"/>
      <c r="H111" s="29"/>
      <c r="I111" s="29"/>
      <c r="J111" s="29"/>
      <c r="K111" s="65">
        <v>0</v>
      </c>
      <c r="L111" s="65"/>
      <c r="M111" s="66"/>
      <c r="N111" s="29"/>
      <c r="O111" s="6"/>
    </row>
    <row r="112" spans="1:15" ht="15.75">
      <c r="A112" s="28"/>
      <c r="B112" s="29" t="s">
        <v>82</v>
      </c>
      <c r="C112" s="29"/>
      <c r="D112" s="29"/>
      <c r="E112" s="29"/>
      <c r="F112" s="29"/>
      <c r="G112" s="29"/>
      <c r="H112" s="29"/>
      <c r="I112" s="29"/>
      <c r="J112" s="29"/>
      <c r="K112" s="65">
        <f>SUM(K105:K111)</f>
        <v>-21320</v>
      </c>
      <c r="L112" s="65"/>
      <c r="M112" s="65">
        <f>SUM(M89:M101)</f>
        <v>-7170</v>
      </c>
      <c r="N112" s="29"/>
      <c r="O112" s="6"/>
    </row>
    <row r="113" spans="1:15" ht="15.75">
      <c r="A113" s="28"/>
      <c r="B113" s="29" t="s">
        <v>83</v>
      </c>
      <c r="C113" s="29"/>
      <c r="D113" s="29"/>
      <c r="E113" s="29"/>
      <c r="F113" s="29"/>
      <c r="G113" s="29"/>
      <c r="H113" s="29"/>
      <c r="I113" s="29"/>
      <c r="J113" s="29"/>
      <c r="K113" s="65">
        <f>SUM(K103:K111)+SUM(K98:K99)</f>
        <v>18564</v>
      </c>
      <c r="L113" s="65"/>
      <c r="M113" s="65">
        <f>M88+M112</f>
        <v>0</v>
      </c>
      <c r="N113" s="29"/>
      <c r="O113" s="6"/>
    </row>
    <row r="114" spans="1:15" ht="15.75">
      <c r="A114" s="28"/>
      <c r="B114" s="29"/>
      <c r="C114" s="29"/>
      <c r="D114" s="29"/>
      <c r="E114" s="29"/>
      <c r="F114" s="29"/>
      <c r="G114" s="29"/>
      <c r="H114" s="29"/>
      <c r="I114" s="29"/>
      <c r="J114" s="29"/>
      <c r="K114" s="65"/>
      <c r="L114" s="65"/>
      <c r="M114" s="65"/>
      <c r="N114" s="29"/>
      <c r="O114" s="6"/>
    </row>
    <row r="115" spans="1:15" ht="15.75">
      <c r="A115" s="7"/>
      <c r="B115" s="14"/>
      <c r="C115" s="9"/>
      <c r="D115" s="9"/>
      <c r="E115" s="9"/>
      <c r="F115" s="9"/>
      <c r="G115" s="9"/>
      <c r="H115" s="9"/>
      <c r="I115" s="9"/>
      <c r="J115" s="9"/>
      <c r="K115" s="68"/>
      <c r="L115" s="68"/>
      <c r="M115" s="68"/>
      <c r="N115" s="9"/>
      <c r="O115" s="6"/>
    </row>
    <row r="116" spans="1:15" ht="16.5" thickBot="1">
      <c r="A116" s="134"/>
      <c r="B116" s="135" t="s">
        <v>229</v>
      </c>
      <c r="C116" s="136"/>
      <c r="D116" s="136"/>
      <c r="E116" s="136"/>
      <c r="F116" s="136"/>
      <c r="G116" s="136"/>
      <c r="H116" s="136"/>
      <c r="I116" s="136"/>
      <c r="J116" s="136"/>
      <c r="K116" s="139"/>
      <c r="L116" s="139"/>
      <c r="M116" s="139"/>
      <c r="N116" s="138"/>
      <c r="O116" s="6"/>
    </row>
    <row r="117" spans="1:15" ht="15.75">
      <c r="A117" s="2"/>
      <c r="B117" s="5"/>
      <c r="C117" s="5"/>
      <c r="D117" s="5"/>
      <c r="E117" s="5"/>
      <c r="F117" s="5"/>
      <c r="G117" s="5"/>
      <c r="H117" s="5"/>
      <c r="I117" s="5"/>
      <c r="J117" s="5"/>
      <c r="K117" s="76"/>
      <c r="L117" s="76"/>
      <c r="M117" s="76"/>
      <c r="N117" s="5"/>
      <c r="O117" s="6"/>
    </row>
    <row r="118" spans="1:15" ht="15.75">
      <c r="A118" s="7"/>
      <c r="B118" s="9"/>
      <c r="C118" s="9"/>
      <c r="D118" s="9"/>
      <c r="E118" s="9"/>
      <c r="F118" s="9"/>
      <c r="G118" s="9"/>
      <c r="H118" s="9"/>
      <c r="I118" s="9"/>
      <c r="J118" s="9"/>
      <c r="K118" s="9"/>
      <c r="L118" s="9"/>
      <c r="M118" s="64"/>
      <c r="N118" s="9"/>
      <c r="O118" s="6"/>
    </row>
    <row r="119" spans="1:15" ht="15.75">
      <c r="A119" s="77"/>
      <c r="B119" s="78"/>
      <c r="C119" s="78"/>
      <c r="D119" s="78"/>
      <c r="E119" s="78"/>
      <c r="F119" s="78"/>
      <c r="G119" s="78"/>
      <c r="H119" s="78"/>
      <c r="I119" s="78"/>
      <c r="J119" s="78"/>
      <c r="K119" s="78"/>
      <c r="L119" s="78"/>
      <c r="M119" s="79"/>
      <c r="N119" s="78"/>
      <c r="O119" s="6"/>
    </row>
    <row r="120" spans="1:15" ht="15.75">
      <c r="A120" s="77"/>
      <c r="B120" s="80" t="s">
        <v>84</v>
      </c>
      <c r="C120" s="78"/>
      <c r="D120" s="78"/>
      <c r="E120" s="78"/>
      <c r="F120" s="78"/>
      <c r="G120" s="78"/>
      <c r="H120" s="78"/>
      <c r="I120" s="78"/>
      <c r="J120" s="78"/>
      <c r="K120" s="78"/>
      <c r="L120" s="78"/>
      <c r="M120" s="79"/>
      <c r="N120" s="81"/>
      <c r="O120" s="6"/>
    </row>
    <row r="121" spans="1:15" ht="15.75">
      <c r="A121" s="77"/>
      <c r="B121" s="78"/>
      <c r="C121" s="78"/>
      <c r="D121" s="78"/>
      <c r="E121" s="78"/>
      <c r="F121" s="78"/>
      <c r="G121" s="78"/>
      <c r="H121" s="78"/>
      <c r="I121" s="78"/>
      <c r="J121" s="78"/>
      <c r="K121" s="78"/>
      <c r="L121" s="78"/>
      <c r="M121" s="79"/>
      <c r="N121" s="78"/>
      <c r="O121" s="6"/>
    </row>
    <row r="122" spans="1:15" ht="15.75">
      <c r="A122" s="7"/>
      <c r="B122" s="158" t="s">
        <v>85</v>
      </c>
      <c r="C122" s="15"/>
      <c r="D122" s="15"/>
      <c r="E122" s="9"/>
      <c r="F122" s="9"/>
      <c r="G122" s="9"/>
      <c r="H122" s="9"/>
      <c r="I122" s="9"/>
      <c r="J122" s="9"/>
      <c r="K122" s="9"/>
      <c r="L122" s="9"/>
      <c r="M122" s="64"/>
      <c r="N122" s="9"/>
      <c r="O122" s="6"/>
    </row>
    <row r="123" spans="1:15" ht="15.75">
      <c r="A123" s="28"/>
      <c r="B123" s="29" t="s">
        <v>86</v>
      </c>
      <c r="C123" s="29"/>
      <c r="D123" s="29"/>
      <c r="E123" s="29"/>
      <c r="F123" s="29"/>
      <c r="G123" s="29"/>
      <c r="H123" s="29"/>
      <c r="I123" s="29"/>
      <c r="J123" s="29"/>
      <c r="K123" s="29"/>
      <c r="L123" s="29"/>
      <c r="M123" s="66">
        <v>5852</v>
      </c>
      <c r="N123" s="29"/>
      <c r="O123" s="6"/>
    </row>
    <row r="124" spans="1:15" ht="15.75">
      <c r="A124" s="28"/>
      <c r="B124" s="29" t="s">
        <v>87</v>
      </c>
      <c r="C124" s="29"/>
      <c r="D124" s="29"/>
      <c r="E124" s="29"/>
      <c r="F124" s="29"/>
      <c r="G124" s="29"/>
      <c r="H124" s="29"/>
      <c r="I124" s="29"/>
      <c r="J124" s="29"/>
      <c r="K124" s="29"/>
      <c r="L124" s="29"/>
      <c r="M124" s="66">
        <v>0</v>
      </c>
      <c r="N124" s="29"/>
      <c r="O124" s="6"/>
    </row>
    <row r="125" spans="1:15" ht="15.75">
      <c r="A125" s="28"/>
      <c r="B125" s="29" t="s">
        <v>88</v>
      </c>
      <c r="C125" s="29"/>
      <c r="D125" s="29"/>
      <c r="E125" s="29"/>
      <c r="F125" s="29"/>
      <c r="G125" s="29"/>
      <c r="H125" s="29"/>
      <c r="I125" s="29"/>
      <c r="J125" s="29"/>
      <c r="K125" s="29"/>
      <c r="L125" s="29"/>
      <c r="M125" s="66">
        <v>0</v>
      </c>
      <c r="N125" s="29"/>
      <c r="O125" s="6"/>
    </row>
    <row r="126" spans="1:15" ht="15.75">
      <c r="A126" s="28"/>
      <c r="B126" s="29" t="s">
        <v>89</v>
      </c>
      <c r="C126" s="29"/>
      <c r="D126" s="29"/>
      <c r="E126" s="29"/>
      <c r="F126" s="29"/>
      <c r="G126" s="29"/>
      <c r="H126" s="29"/>
      <c r="I126" s="29"/>
      <c r="J126" s="29"/>
      <c r="K126" s="29"/>
      <c r="L126" s="29"/>
      <c r="M126" s="66">
        <v>0</v>
      </c>
      <c r="N126" s="29"/>
      <c r="O126" s="6"/>
    </row>
    <row r="127" spans="1:15" ht="15.75">
      <c r="A127" s="28"/>
      <c r="B127" s="29" t="s">
        <v>90</v>
      </c>
      <c r="C127" s="29"/>
      <c r="D127" s="29"/>
      <c r="E127" s="29"/>
      <c r="F127" s="29"/>
      <c r="G127" s="29"/>
      <c r="H127" s="29"/>
      <c r="I127" s="29"/>
      <c r="J127" s="29"/>
      <c r="K127" s="29"/>
      <c r="L127" s="29"/>
      <c r="M127" s="66">
        <v>0</v>
      </c>
      <c r="N127" s="29"/>
      <c r="O127" s="6"/>
    </row>
    <row r="128" spans="1:15" ht="15.75">
      <c r="A128" s="28"/>
      <c r="B128" s="29" t="s">
        <v>91</v>
      </c>
      <c r="C128" s="29"/>
      <c r="D128" s="29"/>
      <c r="E128" s="29"/>
      <c r="F128" s="29"/>
      <c r="G128" s="29"/>
      <c r="H128" s="29"/>
      <c r="I128" s="29"/>
      <c r="J128" s="29"/>
      <c r="K128" s="29"/>
      <c r="L128" s="29"/>
      <c r="M128" s="66">
        <v>0</v>
      </c>
      <c r="N128" s="29"/>
      <c r="O128" s="6"/>
    </row>
    <row r="129" spans="1:15" ht="15.75">
      <c r="A129" s="28"/>
      <c r="B129" s="29" t="s">
        <v>66</v>
      </c>
      <c r="C129" s="29"/>
      <c r="D129" s="29"/>
      <c r="E129" s="29"/>
      <c r="F129" s="29"/>
      <c r="G129" s="29"/>
      <c r="H129" s="29"/>
      <c r="I129" s="29"/>
      <c r="J129" s="29"/>
      <c r="K129" s="29"/>
      <c r="L129" s="29"/>
      <c r="M129" s="66">
        <v>0</v>
      </c>
      <c r="N129" s="29"/>
      <c r="O129" s="6"/>
    </row>
    <row r="130" spans="1:15" ht="15.75">
      <c r="A130" s="28"/>
      <c r="B130" s="29" t="s">
        <v>67</v>
      </c>
      <c r="C130" s="29"/>
      <c r="D130" s="29"/>
      <c r="E130" s="29"/>
      <c r="F130" s="29"/>
      <c r="G130" s="29"/>
      <c r="H130" s="29"/>
      <c r="I130" s="29"/>
      <c r="J130" s="29"/>
      <c r="K130" s="29"/>
      <c r="L130" s="29"/>
      <c r="M130" s="66">
        <v>0</v>
      </c>
      <c r="N130" s="29"/>
      <c r="O130" s="6"/>
    </row>
    <row r="131" spans="1:15" ht="15.75">
      <c r="A131" s="28"/>
      <c r="B131" s="29" t="s">
        <v>92</v>
      </c>
      <c r="C131" s="29"/>
      <c r="D131" s="29"/>
      <c r="E131" s="29"/>
      <c r="F131" s="29"/>
      <c r="G131" s="29"/>
      <c r="H131" s="29"/>
      <c r="I131" s="29"/>
      <c r="J131" s="29"/>
      <c r="K131" s="29"/>
      <c r="L131" s="29"/>
      <c r="M131" s="66">
        <f>M123+M126</f>
        <v>5852</v>
      </c>
      <c r="N131" s="29"/>
      <c r="O131" s="6"/>
    </row>
    <row r="132" spans="1:15" ht="15.75">
      <c r="A132" s="28"/>
      <c r="B132" s="29"/>
      <c r="C132" s="29"/>
      <c r="D132" s="29"/>
      <c r="E132" s="29"/>
      <c r="F132" s="29"/>
      <c r="G132" s="29"/>
      <c r="H132" s="29"/>
      <c r="I132" s="29"/>
      <c r="J132" s="29"/>
      <c r="K132" s="29"/>
      <c r="L132" s="29"/>
      <c r="M132" s="82"/>
      <c r="N132" s="29"/>
      <c r="O132" s="6"/>
    </row>
    <row r="133" spans="1:15" ht="15.75">
      <c r="A133" s="7"/>
      <c r="B133" s="158" t="s">
        <v>50</v>
      </c>
      <c r="C133" s="9"/>
      <c r="D133" s="9"/>
      <c r="E133" s="9"/>
      <c r="F133" s="9"/>
      <c r="G133" s="9"/>
      <c r="H133" s="9"/>
      <c r="I133" s="9"/>
      <c r="J133" s="9"/>
      <c r="K133" s="9"/>
      <c r="L133" s="9"/>
      <c r="M133" s="64"/>
      <c r="N133" s="9"/>
      <c r="O133" s="6"/>
    </row>
    <row r="134" spans="1:15" ht="15.75">
      <c r="A134" s="28"/>
      <c r="B134" s="29" t="s">
        <v>93</v>
      </c>
      <c r="C134" s="83"/>
      <c r="D134" s="83"/>
      <c r="E134" s="29"/>
      <c r="F134" s="29"/>
      <c r="G134" s="29"/>
      <c r="H134" s="29"/>
      <c r="I134" s="29"/>
      <c r="J134" s="29"/>
      <c r="K134" s="29"/>
      <c r="L134" s="29"/>
      <c r="M134" s="66">
        <v>2926</v>
      </c>
      <c r="N134" s="29"/>
      <c r="O134" s="6"/>
    </row>
    <row r="135" spans="1:15" ht="15.75">
      <c r="A135" s="28"/>
      <c r="B135" s="29" t="s">
        <v>94</v>
      </c>
      <c r="C135" s="29"/>
      <c r="D135" s="29"/>
      <c r="E135" s="29"/>
      <c r="F135" s="29"/>
      <c r="G135" s="29"/>
      <c r="H135" s="29"/>
      <c r="I135" s="29"/>
      <c r="J135" s="29"/>
      <c r="K135" s="29"/>
      <c r="L135" s="29"/>
      <c r="M135" s="66">
        <v>2926</v>
      </c>
      <c r="N135" s="29"/>
      <c r="O135" s="6"/>
    </row>
    <row r="136" spans="1:15" ht="15.75">
      <c r="A136" s="28"/>
      <c r="B136" s="29" t="s">
        <v>95</v>
      </c>
      <c r="C136" s="29"/>
      <c r="D136" s="29"/>
      <c r="E136" s="29"/>
      <c r="F136" s="29"/>
      <c r="G136" s="29"/>
      <c r="H136" s="29"/>
      <c r="I136" s="29"/>
      <c r="J136" s="29"/>
      <c r="K136" s="29"/>
      <c r="L136" s="29"/>
      <c r="M136" s="66">
        <f>-M99</f>
        <v>0</v>
      </c>
      <c r="N136" s="29"/>
      <c r="O136" s="6"/>
    </row>
    <row r="137" spans="1:15" ht="15.75">
      <c r="A137" s="28"/>
      <c r="B137" s="29" t="s">
        <v>96</v>
      </c>
      <c r="C137" s="29"/>
      <c r="D137" s="29"/>
      <c r="E137" s="29"/>
      <c r="F137" s="29"/>
      <c r="G137" s="29"/>
      <c r="H137" s="29"/>
      <c r="I137" s="29"/>
      <c r="J137" s="29"/>
      <c r="K137" s="29"/>
      <c r="L137" s="29"/>
      <c r="M137" s="66">
        <f>M134-M135-M136</f>
        <v>0</v>
      </c>
      <c r="N137" s="29"/>
      <c r="O137" s="6"/>
    </row>
    <row r="138" spans="1:15" ht="15.75">
      <c r="A138" s="28"/>
      <c r="B138" s="29"/>
      <c r="C138" s="29"/>
      <c r="D138" s="29"/>
      <c r="E138" s="29"/>
      <c r="F138" s="29"/>
      <c r="G138" s="29"/>
      <c r="H138" s="29"/>
      <c r="I138" s="29"/>
      <c r="J138" s="29"/>
      <c r="K138" s="29"/>
      <c r="L138" s="29"/>
      <c r="M138" s="84"/>
      <c r="N138" s="29"/>
      <c r="O138" s="6"/>
    </row>
    <row r="139" spans="1:15" ht="15.75">
      <c r="A139" s="7"/>
      <c r="B139" s="158" t="s">
        <v>97</v>
      </c>
      <c r="C139" s="15"/>
      <c r="D139" s="15"/>
      <c r="E139" s="9"/>
      <c r="F139" s="9"/>
      <c r="G139" s="17" t="s">
        <v>178</v>
      </c>
      <c r="H139" s="17"/>
      <c r="I139" s="17" t="s">
        <v>181</v>
      </c>
      <c r="J139" s="9"/>
      <c r="K139" s="9"/>
      <c r="L139" s="9"/>
      <c r="M139" s="85"/>
      <c r="N139" s="9"/>
      <c r="O139" s="6"/>
    </row>
    <row r="140" spans="1:15" ht="15.75">
      <c r="A140" s="7"/>
      <c r="B140" s="15"/>
      <c r="C140" s="15"/>
      <c r="D140" s="15"/>
      <c r="E140" s="9"/>
      <c r="F140" s="9"/>
      <c r="G140" s="9"/>
      <c r="H140" s="9"/>
      <c r="I140" s="9"/>
      <c r="J140" s="9"/>
      <c r="K140" s="9"/>
      <c r="L140" s="9"/>
      <c r="M140" s="85"/>
      <c r="N140" s="9"/>
      <c r="O140" s="6"/>
    </row>
    <row r="141" spans="1:15" ht="15.75">
      <c r="A141" s="28"/>
      <c r="B141" s="29" t="s">
        <v>98</v>
      </c>
      <c r="C141" s="29"/>
      <c r="D141" s="29"/>
      <c r="E141" s="29"/>
      <c r="F141" s="29"/>
      <c r="G141" s="29">
        <v>0</v>
      </c>
      <c r="H141" s="29"/>
      <c r="I141" s="29">
        <v>0</v>
      </c>
      <c r="J141" s="29"/>
      <c r="K141" s="29"/>
      <c r="L141" s="29"/>
      <c r="M141" s="66">
        <v>0</v>
      </c>
      <c r="N141" s="29"/>
      <c r="O141" s="6"/>
    </row>
    <row r="142" spans="1:15" ht="15.75">
      <c r="A142" s="28"/>
      <c r="B142" s="29" t="s">
        <v>99</v>
      </c>
      <c r="C142" s="29"/>
      <c r="D142" s="29"/>
      <c r="E142" s="29"/>
      <c r="F142" s="29"/>
      <c r="G142" s="29">
        <v>7</v>
      </c>
      <c r="H142" s="29"/>
      <c r="I142" s="29">
        <v>190</v>
      </c>
      <c r="J142" s="29"/>
      <c r="K142" s="29"/>
      <c r="L142" s="29"/>
      <c r="M142" s="66">
        <f>SUM(G142:I142)</f>
        <v>197</v>
      </c>
      <c r="N142" s="29"/>
      <c r="O142" s="6"/>
    </row>
    <row r="143" spans="1:15" ht="15.75">
      <c r="A143" s="28"/>
      <c r="B143" s="29" t="s">
        <v>100</v>
      </c>
      <c r="C143" s="29"/>
      <c r="D143" s="29"/>
      <c r="E143" s="29"/>
      <c r="F143" s="29"/>
      <c r="G143" s="29"/>
      <c r="H143" s="29"/>
      <c r="I143" s="86"/>
      <c r="J143" s="29"/>
      <c r="K143" s="29"/>
      <c r="L143" s="29"/>
      <c r="M143" s="66">
        <f>M98</f>
        <v>-197</v>
      </c>
      <c r="N143" s="29"/>
      <c r="O143" s="6"/>
    </row>
    <row r="144" spans="1:15" ht="15.75">
      <c r="A144" s="28"/>
      <c r="B144" s="29" t="s">
        <v>101</v>
      </c>
      <c r="C144" s="29"/>
      <c r="D144" s="29"/>
      <c r="E144" s="29"/>
      <c r="F144" s="29"/>
      <c r="G144" s="29"/>
      <c r="H144" s="29"/>
      <c r="I144" s="29"/>
      <c r="J144" s="29"/>
      <c r="K144" s="29"/>
      <c r="L144" s="29"/>
      <c r="M144" s="66">
        <f>M143+M142</f>
        <v>0</v>
      </c>
      <c r="N144" s="29"/>
      <c r="O144" s="6"/>
    </row>
    <row r="145" spans="1:15" ht="15.75">
      <c r="A145" s="28"/>
      <c r="B145" s="29"/>
      <c r="C145" s="29"/>
      <c r="D145" s="29"/>
      <c r="E145" s="29"/>
      <c r="F145" s="29"/>
      <c r="G145" s="29"/>
      <c r="H145" s="29"/>
      <c r="I145" s="29"/>
      <c r="J145" s="29"/>
      <c r="K145" s="29"/>
      <c r="L145" s="29"/>
      <c r="M145" s="82"/>
      <c r="N145" s="29"/>
      <c r="O145" s="6"/>
    </row>
    <row r="146" spans="1:15" ht="15.75">
      <c r="A146" s="7"/>
      <c r="B146" s="9"/>
      <c r="C146" s="9"/>
      <c r="D146" s="9"/>
      <c r="E146" s="9"/>
      <c r="F146" s="9"/>
      <c r="G146" s="9"/>
      <c r="H146" s="9"/>
      <c r="I146" s="9"/>
      <c r="J146" s="9"/>
      <c r="K146" s="9"/>
      <c r="L146" s="9"/>
      <c r="M146" s="64"/>
      <c r="N146" s="9"/>
      <c r="O146" s="6"/>
    </row>
    <row r="147" spans="1:15" ht="15.75">
      <c r="A147" s="7"/>
      <c r="B147" s="158" t="s">
        <v>102</v>
      </c>
      <c r="C147" s="15"/>
      <c r="D147" s="15"/>
      <c r="E147" s="9"/>
      <c r="F147" s="9"/>
      <c r="G147" s="9"/>
      <c r="H147" s="9"/>
      <c r="I147" s="9"/>
      <c r="J147" s="9"/>
      <c r="K147" s="9"/>
      <c r="L147" s="9"/>
      <c r="M147" s="64"/>
      <c r="N147" s="9"/>
      <c r="O147" s="6"/>
    </row>
    <row r="148" spans="1:15" ht="15.75">
      <c r="A148" s="28"/>
      <c r="B148" s="29" t="s">
        <v>103</v>
      </c>
      <c r="C148" s="87"/>
      <c r="D148" s="87"/>
      <c r="E148" s="29"/>
      <c r="F148" s="29"/>
      <c r="G148" s="29"/>
      <c r="H148" s="29"/>
      <c r="I148" s="29"/>
      <c r="J148" s="29"/>
      <c r="K148" s="29"/>
      <c r="L148" s="29"/>
      <c r="M148" s="66">
        <f>M68+M61</f>
        <v>176105</v>
      </c>
      <c r="N148" s="29"/>
      <c r="O148" s="6"/>
    </row>
    <row r="149" spans="1:15" ht="15.75">
      <c r="A149" s="28"/>
      <c r="B149" s="29" t="s">
        <v>104</v>
      </c>
      <c r="C149" s="87"/>
      <c r="D149" s="87"/>
      <c r="E149" s="29"/>
      <c r="F149" s="29"/>
      <c r="G149" s="29"/>
      <c r="H149" s="29"/>
      <c r="I149" s="29"/>
      <c r="J149" s="29"/>
      <c r="K149" s="29"/>
      <c r="L149" s="29"/>
      <c r="M149" s="66">
        <f>M72</f>
        <v>18367</v>
      </c>
      <c r="N149" s="29"/>
      <c r="O149" s="6"/>
    </row>
    <row r="150" spans="1:15" ht="15.75">
      <c r="A150" s="28"/>
      <c r="B150" s="29" t="s">
        <v>50</v>
      </c>
      <c r="C150" s="87"/>
      <c r="D150" s="87"/>
      <c r="E150" s="29"/>
      <c r="F150" s="29"/>
      <c r="G150" s="29"/>
      <c r="H150" s="29"/>
      <c r="I150" s="29"/>
      <c r="J150" s="29"/>
      <c r="K150" s="29"/>
      <c r="L150" s="29"/>
      <c r="M150" s="66">
        <f>M71</f>
        <v>2926</v>
      </c>
      <c r="N150" s="29"/>
      <c r="O150" s="6"/>
    </row>
    <row r="151" spans="1:15" ht="15.75">
      <c r="A151" s="28"/>
      <c r="B151" s="29" t="s">
        <v>105</v>
      </c>
      <c r="C151" s="87"/>
      <c r="D151" s="87"/>
      <c r="E151" s="29"/>
      <c r="F151" s="29"/>
      <c r="G151" s="29"/>
      <c r="H151" s="29"/>
      <c r="I151" s="29"/>
      <c r="J151" s="29"/>
      <c r="K151" s="29"/>
      <c r="L151" s="29"/>
      <c r="M151" s="66">
        <f>M74</f>
        <v>-95</v>
      </c>
      <c r="N151" s="29"/>
      <c r="O151" s="6"/>
    </row>
    <row r="152" spans="1:15" ht="15.75">
      <c r="A152" s="28"/>
      <c r="B152" s="29" t="s">
        <v>106</v>
      </c>
      <c r="C152" s="87"/>
      <c r="D152" s="87"/>
      <c r="E152" s="29"/>
      <c r="F152" s="29"/>
      <c r="G152" s="29"/>
      <c r="H152" s="29"/>
      <c r="I152" s="29"/>
      <c r="J152" s="29"/>
      <c r="K152" s="29"/>
      <c r="L152" s="29"/>
      <c r="M152" s="66">
        <f>M73</f>
        <v>621</v>
      </c>
      <c r="N152" s="29"/>
      <c r="O152" s="6"/>
    </row>
    <row r="153" spans="1:15" ht="15.75">
      <c r="A153" s="28"/>
      <c r="B153" s="29" t="s">
        <v>107</v>
      </c>
      <c r="C153" s="87"/>
      <c r="D153" s="87"/>
      <c r="E153" s="29"/>
      <c r="F153" s="29"/>
      <c r="G153" s="29"/>
      <c r="H153" s="29"/>
      <c r="I153" s="29"/>
      <c r="J153" s="29"/>
      <c r="K153" s="29"/>
      <c r="L153" s="29"/>
      <c r="M153" s="66">
        <f>SUM(M148:M152)</f>
        <v>197924</v>
      </c>
      <c r="N153" s="29"/>
      <c r="O153" s="6"/>
    </row>
    <row r="154" spans="1:15" ht="15.75">
      <c r="A154" s="28"/>
      <c r="B154" s="29" t="s">
        <v>108</v>
      </c>
      <c r="C154" s="87"/>
      <c r="D154" s="87"/>
      <c r="E154" s="29"/>
      <c r="F154" s="29"/>
      <c r="G154" s="29"/>
      <c r="H154" s="29"/>
      <c r="I154" s="29"/>
      <c r="J154" s="29"/>
      <c r="K154" s="29"/>
      <c r="L154" s="29"/>
      <c r="M154" s="66">
        <f>M30</f>
        <v>194998</v>
      </c>
      <c r="N154" s="29"/>
      <c r="O154" s="6"/>
    </row>
    <row r="155" spans="1:15" ht="15.75">
      <c r="A155" s="28"/>
      <c r="B155" s="29"/>
      <c r="C155" s="29"/>
      <c r="D155" s="29"/>
      <c r="E155" s="29"/>
      <c r="F155" s="29"/>
      <c r="G155" s="29"/>
      <c r="H155" s="29"/>
      <c r="I155" s="29"/>
      <c r="J155" s="29"/>
      <c r="K155" s="29"/>
      <c r="L155" s="29"/>
      <c r="M155" s="82"/>
      <c r="N155" s="29"/>
      <c r="O155" s="6"/>
    </row>
    <row r="156" spans="1:15" ht="15.75">
      <c r="A156" s="7"/>
      <c r="B156" s="9"/>
      <c r="C156" s="9"/>
      <c r="D156" s="9"/>
      <c r="E156" s="9"/>
      <c r="F156" s="9"/>
      <c r="G156" s="9"/>
      <c r="H156" s="9"/>
      <c r="I156" s="25"/>
      <c r="J156" s="9"/>
      <c r="K156" s="25"/>
      <c r="L156" s="9"/>
      <c r="M156" s="64"/>
      <c r="N156" s="9"/>
      <c r="O156" s="6"/>
    </row>
    <row r="157" spans="1:15" ht="15.75">
      <c r="A157" s="7"/>
      <c r="B157" s="158" t="s">
        <v>109</v>
      </c>
      <c r="C157" s="144"/>
      <c r="D157" s="144"/>
      <c r="E157" s="144"/>
      <c r="F157" s="144"/>
      <c r="G157" s="144"/>
      <c r="H157" s="144"/>
      <c r="I157" s="159" t="s">
        <v>205</v>
      </c>
      <c r="J157" s="159"/>
      <c r="K157" s="159" t="s">
        <v>210</v>
      </c>
      <c r="L157" s="144"/>
      <c r="M157" s="160" t="s">
        <v>192</v>
      </c>
      <c r="N157" s="161"/>
      <c r="O157" s="6"/>
    </row>
    <row r="158" spans="1:15" ht="15.75">
      <c r="A158" s="28"/>
      <c r="B158" s="29" t="s">
        <v>110</v>
      </c>
      <c r="C158" s="29"/>
      <c r="D158" s="29"/>
      <c r="E158" s="29"/>
      <c r="F158" s="29"/>
      <c r="G158" s="29"/>
      <c r="H158" s="29"/>
      <c r="I158" s="66"/>
      <c r="J158" s="29"/>
      <c r="K158" s="53"/>
      <c r="L158" s="29"/>
      <c r="M158" s="66"/>
      <c r="N158" s="29"/>
      <c r="O158" s="6"/>
    </row>
    <row r="159" spans="1:15" ht="15.75">
      <c r="A159" s="28"/>
      <c r="B159" s="29" t="s">
        <v>111</v>
      </c>
      <c r="C159" s="29"/>
      <c r="D159" s="29"/>
      <c r="E159" s="29"/>
      <c r="F159" s="29"/>
      <c r="G159" s="29"/>
      <c r="H159" s="29"/>
      <c r="I159" s="66"/>
      <c r="J159" s="29"/>
      <c r="K159" s="29"/>
      <c r="L159" s="29"/>
      <c r="M159" s="66" t="s">
        <v>224</v>
      </c>
      <c r="N159" s="29"/>
      <c r="O159" s="6"/>
    </row>
    <row r="160" spans="1:15" ht="15.75">
      <c r="A160" s="28"/>
      <c r="B160" s="29" t="s">
        <v>112</v>
      </c>
      <c r="C160" s="29"/>
      <c r="D160" s="29"/>
      <c r="E160" s="29"/>
      <c r="F160" s="29"/>
      <c r="G160" s="29"/>
      <c r="H160" s="29"/>
      <c r="I160" s="66"/>
      <c r="J160" s="29"/>
      <c r="K160" s="29"/>
      <c r="L160" s="29"/>
      <c r="M160" s="66" t="s">
        <v>224</v>
      </c>
      <c r="N160" s="29"/>
      <c r="O160" s="6"/>
    </row>
    <row r="161" spans="1:15" ht="15.75">
      <c r="A161" s="28"/>
      <c r="B161" s="29" t="s">
        <v>113</v>
      </c>
      <c r="C161" s="29"/>
      <c r="D161" s="29"/>
      <c r="E161" s="29"/>
      <c r="F161" s="29"/>
      <c r="G161" s="29"/>
      <c r="H161" s="29"/>
      <c r="I161" s="66"/>
      <c r="J161" s="29"/>
      <c r="K161" s="66"/>
      <c r="L161" s="29"/>
      <c r="M161" s="66" t="s">
        <v>224</v>
      </c>
      <c r="N161" s="29"/>
      <c r="O161" s="6"/>
    </row>
    <row r="162" spans="1:15" ht="15.75">
      <c r="A162" s="28"/>
      <c r="B162" s="29" t="s">
        <v>114</v>
      </c>
      <c r="C162" s="29"/>
      <c r="D162" s="29"/>
      <c r="E162" s="29"/>
      <c r="F162" s="29"/>
      <c r="G162" s="29"/>
      <c r="H162" s="29"/>
      <c r="I162" s="66"/>
      <c r="J162" s="29"/>
      <c r="K162" s="53"/>
      <c r="L162" s="29"/>
      <c r="M162" s="66"/>
      <c r="N162" s="29"/>
      <c r="O162" s="6"/>
    </row>
    <row r="163" spans="1:15" ht="15.75">
      <c r="A163" s="28"/>
      <c r="B163" s="29"/>
      <c r="C163" s="29"/>
      <c r="D163" s="29"/>
      <c r="E163" s="29"/>
      <c r="F163" s="29"/>
      <c r="G163" s="29"/>
      <c r="H163" s="29"/>
      <c r="I163" s="29"/>
      <c r="J163" s="29"/>
      <c r="K163" s="29"/>
      <c r="L163" s="29"/>
      <c r="M163" s="82"/>
      <c r="N163" s="29"/>
      <c r="O163" s="6"/>
    </row>
    <row r="164" spans="1:15" ht="15.75">
      <c r="A164" s="7"/>
      <c r="B164" s="9"/>
      <c r="C164" s="9"/>
      <c r="D164" s="9"/>
      <c r="E164" s="9"/>
      <c r="F164" s="9"/>
      <c r="G164" s="9"/>
      <c r="H164" s="9"/>
      <c r="I164" s="9"/>
      <c r="J164" s="9"/>
      <c r="K164" s="9"/>
      <c r="L164" s="9"/>
      <c r="M164" s="64"/>
      <c r="N164" s="9"/>
      <c r="O164" s="6"/>
    </row>
    <row r="165" spans="1:15" ht="15.75">
      <c r="A165" s="7"/>
      <c r="B165" s="158" t="s">
        <v>115</v>
      </c>
      <c r="C165" s="15"/>
      <c r="D165" s="15"/>
      <c r="E165" s="9"/>
      <c r="F165" s="9"/>
      <c r="G165" s="9"/>
      <c r="H165" s="9"/>
      <c r="I165" s="9"/>
      <c r="J165" s="9"/>
      <c r="K165" s="9"/>
      <c r="L165" s="9"/>
      <c r="M165" s="88"/>
      <c r="N165" s="9"/>
      <c r="O165" s="6"/>
    </row>
    <row r="166" spans="1:15" ht="15.75">
      <c r="A166" s="28"/>
      <c r="B166" s="29" t="s">
        <v>116</v>
      </c>
      <c r="C166" s="29"/>
      <c r="D166" s="29"/>
      <c r="E166" s="29"/>
      <c r="F166" s="29"/>
      <c r="G166" s="29"/>
      <c r="H166" s="29"/>
      <c r="I166" s="29"/>
      <c r="J166" s="29"/>
      <c r="K166" s="29"/>
      <c r="L166" s="29"/>
      <c r="M166" s="73">
        <f>(M88+M90+M91+M93)/-M92</f>
        <v>2.8255765199161424</v>
      </c>
      <c r="N166" s="29" t="s">
        <v>225</v>
      </c>
      <c r="O166" s="6"/>
    </row>
    <row r="167" spans="1:15" ht="15.75">
      <c r="A167" s="28"/>
      <c r="B167" s="29" t="s">
        <v>117</v>
      </c>
      <c r="C167" s="29"/>
      <c r="D167" s="29"/>
      <c r="E167" s="29"/>
      <c r="F167" s="29"/>
      <c r="G167" s="29"/>
      <c r="H167" s="29"/>
      <c r="I167" s="29"/>
      <c r="J167" s="29"/>
      <c r="K167" s="29"/>
      <c r="L167" s="29"/>
      <c r="M167" s="89">
        <v>2.17</v>
      </c>
      <c r="N167" s="29" t="s">
        <v>225</v>
      </c>
      <c r="O167" s="6"/>
    </row>
    <row r="168" spans="1:15" ht="15.75">
      <c r="A168" s="28"/>
      <c r="B168" s="29" t="s">
        <v>118</v>
      </c>
      <c r="C168" s="29"/>
      <c r="D168" s="29"/>
      <c r="E168" s="29"/>
      <c r="F168" s="29"/>
      <c r="G168" s="29"/>
      <c r="H168" s="29"/>
      <c r="I168" s="29"/>
      <c r="J168" s="29"/>
      <c r="K168" s="29"/>
      <c r="L168" s="29"/>
      <c r="M168" s="73">
        <f>(M88+M90+M91+M92+M93+M94)/-M95</f>
        <v>17.265873015873016</v>
      </c>
      <c r="N168" s="29" t="s">
        <v>225</v>
      </c>
      <c r="O168" s="6"/>
    </row>
    <row r="169" spans="1:15" ht="15.75">
      <c r="A169" s="28"/>
      <c r="B169" s="29" t="s">
        <v>119</v>
      </c>
      <c r="C169" s="29"/>
      <c r="D169" s="29"/>
      <c r="E169" s="29"/>
      <c r="F169" s="29"/>
      <c r="G169" s="29"/>
      <c r="H169" s="29"/>
      <c r="I169" s="29"/>
      <c r="J169" s="29"/>
      <c r="K169" s="29"/>
      <c r="L169" s="29"/>
      <c r="M169" s="90">
        <v>11.07</v>
      </c>
      <c r="N169" s="29" t="s">
        <v>225</v>
      </c>
      <c r="O169" s="6"/>
    </row>
    <row r="170" spans="1:15" ht="15.75">
      <c r="A170" s="28"/>
      <c r="B170" s="29" t="s">
        <v>120</v>
      </c>
      <c r="C170" s="29"/>
      <c r="D170" s="29"/>
      <c r="E170" s="29"/>
      <c r="F170" s="29"/>
      <c r="G170" s="29"/>
      <c r="H170" s="29"/>
      <c r="I170" s="29"/>
      <c r="J170" s="29"/>
      <c r="K170" s="29"/>
      <c r="L170" s="29"/>
      <c r="M170" s="73">
        <f>(M88+M90+M91+M92+M93+M94+M95)/-M96</f>
        <v>23.69364161849711</v>
      </c>
      <c r="N170" s="29" t="s">
        <v>225</v>
      </c>
      <c r="O170" s="6"/>
    </row>
    <row r="171" spans="1:15" ht="15.75">
      <c r="A171" s="28"/>
      <c r="B171" s="29" t="s">
        <v>121</v>
      </c>
      <c r="C171" s="29"/>
      <c r="D171" s="29"/>
      <c r="E171" s="29"/>
      <c r="F171" s="29"/>
      <c r="G171" s="29"/>
      <c r="H171" s="29"/>
      <c r="I171" s="29"/>
      <c r="J171" s="29"/>
      <c r="K171" s="29"/>
      <c r="L171" s="29"/>
      <c r="M171" s="89">
        <v>14.84</v>
      </c>
      <c r="N171" s="29" t="s">
        <v>225</v>
      </c>
      <c r="O171" s="6"/>
    </row>
    <row r="172" spans="1:15" ht="15.75">
      <c r="A172" s="28"/>
      <c r="B172" s="29"/>
      <c r="C172" s="29"/>
      <c r="D172" s="29"/>
      <c r="E172" s="29"/>
      <c r="F172" s="29"/>
      <c r="G172" s="29"/>
      <c r="H172" s="29"/>
      <c r="I172" s="29"/>
      <c r="J172" s="29"/>
      <c r="K172" s="29"/>
      <c r="L172" s="29"/>
      <c r="M172" s="29"/>
      <c r="N172" s="29"/>
      <c r="O172" s="6"/>
    </row>
    <row r="173" spans="1:15" ht="15.75">
      <c r="A173" s="7"/>
      <c r="B173" s="9"/>
      <c r="C173" s="9"/>
      <c r="D173" s="9"/>
      <c r="E173" s="9"/>
      <c r="F173" s="9"/>
      <c r="G173" s="9"/>
      <c r="H173" s="9"/>
      <c r="I173" s="9"/>
      <c r="J173" s="9"/>
      <c r="K173" s="9"/>
      <c r="L173" s="9"/>
      <c r="M173" s="9"/>
      <c r="N173" s="9"/>
      <c r="O173" s="6"/>
    </row>
    <row r="174" spans="1:15" ht="16.5" thickBot="1">
      <c r="A174" s="134"/>
      <c r="B174" s="135" t="s">
        <v>229</v>
      </c>
      <c r="C174" s="136"/>
      <c r="D174" s="136"/>
      <c r="E174" s="136"/>
      <c r="F174" s="136"/>
      <c r="G174" s="136"/>
      <c r="H174" s="136"/>
      <c r="I174" s="136"/>
      <c r="J174" s="136"/>
      <c r="K174" s="136"/>
      <c r="L174" s="136"/>
      <c r="M174" s="136"/>
      <c r="N174" s="138"/>
      <c r="O174" s="6"/>
    </row>
    <row r="175" spans="1:15" ht="15.75">
      <c r="A175" s="2"/>
      <c r="B175" s="91"/>
      <c r="C175" s="91"/>
      <c r="D175" s="91"/>
      <c r="E175" s="91"/>
      <c r="F175" s="91"/>
      <c r="G175" s="91"/>
      <c r="H175" s="91"/>
      <c r="I175" s="91"/>
      <c r="J175" s="91"/>
      <c r="K175" s="91"/>
      <c r="L175" s="91"/>
      <c r="M175" s="91"/>
      <c r="N175" s="91"/>
      <c r="O175" s="6"/>
    </row>
    <row r="176" spans="1:15" ht="15.75">
      <c r="A176" s="92"/>
      <c r="B176" s="63" t="s">
        <v>122</v>
      </c>
      <c r="C176" s="93"/>
      <c r="D176" s="93"/>
      <c r="E176" s="93" t="s">
        <v>178</v>
      </c>
      <c r="F176" s="93"/>
      <c r="G176" s="94" t="s">
        <v>181</v>
      </c>
      <c r="H176" s="94"/>
      <c r="I176" s="94"/>
      <c r="J176" s="22"/>
      <c r="K176" s="22">
        <v>37103</v>
      </c>
      <c r="L176" s="18"/>
      <c r="M176" s="18"/>
      <c r="N176" s="9"/>
      <c r="O176" s="6"/>
    </row>
    <row r="177" spans="1:15" ht="15.75">
      <c r="A177" s="95"/>
      <c r="B177" s="74" t="s">
        <v>123</v>
      </c>
      <c r="C177" s="96"/>
      <c r="D177" s="96"/>
      <c r="E177" s="97">
        <v>0.12505</v>
      </c>
      <c r="F177" s="96"/>
      <c r="G177" s="97">
        <v>0.13752</v>
      </c>
      <c r="H177" s="86"/>
      <c r="I177" s="86"/>
      <c r="J177" s="86"/>
      <c r="K177" s="97">
        <v>0.13157</v>
      </c>
      <c r="L177" s="29"/>
      <c r="M177" s="29"/>
      <c r="N177" s="29"/>
      <c r="O177" s="6"/>
    </row>
    <row r="178" spans="1:15" ht="15.75">
      <c r="A178" s="95"/>
      <c r="B178" s="74" t="s">
        <v>124</v>
      </c>
      <c r="C178" s="96"/>
      <c r="D178" s="96"/>
      <c r="E178" s="97"/>
      <c r="F178" s="96"/>
      <c r="G178" s="97"/>
      <c r="H178" s="86"/>
      <c r="I178" s="86"/>
      <c r="J178" s="86"/>
      <c r="K178" s="97">
        <v>0.0654</v>
      </c>
      <c r="L178" s="97"/>
      <c r="M178" s="29"/>
      <c r="N178" s="29"/>
      <c r="O178" s="6"/>
    </row>
    <row r="179" spans="1:15" ht="15.75">
      <c r="A179" s="95"/>
      <c r="B179" s="74" t="s">
        <v>125</v>
      </c>
      <c r="C179" s="96"/>
      <c r="D179" s="96"/>
      <c r="E179" s="96"/>
      <c r="F179" s="96"/>
      <c r="G179" s="96"/>
      <c r="H179" s="86"/>
      <c r="I179" s="86"/>
      <c r="J179" s="86"/>
      <c r="K179" s="97">
        <f>K177-K178</f>
        <v>0.06616999999999999</v>
      </c>
      <c r="L179" s="29"/>
      <c r="M179" s="29"/>
      <c r="N179" s="29"/>
      <c r="O179" s="6"/>
    </row>
    <row r="180" spans="1:15" ht="15.75">
      <c r="A180" s="95"/>
      <c r="B180" s="74" t="s">
        <v>126</v>
      </c>
      <c r="C180" s="96"/>
      <c r="D180" s="96"/>
      <c r="E180" s="98">
        <v>0.1225</v>
      </c>
      <c r="F180" s="98"/>
      <c r="G180" s="98">
        <v>0.1323</v>
      </c>
      <c r="H180" s="86"/>
      <c r="I180" s="86"/>
      <c r="J180" s="86"/>
      <c r="K180" s="97">
        <v>0.1276</v>
      </c>
      <c r="L180" s="29"/>
      <c r="M180" s="29"/>
      <c r="N180" s="29"/>
      <c r="O180" s="6"/>
    </row>
    <row r="181" spans="1:15" ht="15.75">
      <c r="A181" s="95"/>
      <c r="B181" s="74" t="s">
        <v>127</v>
      </c>
      <c r="C181" s="96"/>
      <c r="D181" s="96"/>
      <c r="E181" s="96"/>
      <c r="F181" s="96"/>
      <c r="G181" s="96"/>
      <c r="H181" s="86"/>
      <c r="I181" s="86"/>
      <c r="J181" s="86"/>
      <c r="K181" s="97">
        <f>M32</f>
        <v>0.05718636998841013</v>
      </c>
      <c r="L181" s="29"/>
      <c r="M181" s="29"/>
      <c r="N181" s="29"/>
      <c r="O181" s="6"/>
    </row>
    <row r="182" spans="1:15" ht="15.75">
      <c r="A182" s="95"/>
      <c r="B182" s="74" t="s">
        <v>128</v>
      </c>
      <c r="C182" s="96"/>
      <c r="D182" s="96"/>
      <c r="E182" s="96"/>
      <c r="F182" s="96"/>
      <c r="G182" s="96"/>
      <c r="H182" s="86"/>
      <c r="I182" s="86"/>
      <c r="J182" s="86"/>
      <c r="K182" s="97">
        <f>K180-K181</f>
        <v>0.07041363001158986</v>
      </c>
      <c r="L182" s="29"/>
      <c r="M182" s="29"/>
      <c r="N182" s="29"/>
      <c r="O182" s="6"/>
    </row>
    <row r="183" spans="1:15" ht="15.75">
      <c r="A183" s="95"/>
      <c r="B183" s="74" t="s">
        <v>129</v>
      </c>
      <c r="C183" s="96"/>
      <c r="D183" s="96"/>
      <c r="E183" s="96"/>
      <c r="F183" s="96"/>
      <c r="G183" s="96"/>
      <c r="H183" s="86"/>
      <c r="I183" s="86"/>
      <c r="J183" s="86"/>
      <c r="K183" s="97" t="s">
        <v>211</v>
      </c>
      <c r="L183" s="29"/>
      <c r="M183" s="29"/>
      <c r="N183" s="29"/>
      <c r="O183" s="6"/>
    </row>
    <row r="184" spans="1:15" ht="15.75">
      <c r="A184" s="95"/>
      <c r="B184" s="74" t="s">
        <v>130</v>
      </c>
      <c r="C184" s="96"/>
      <c r="D184" s="96"/>
      <c r="E184" s="96"/>
      <c r="F184" s="96"/>
      <c r="G184" s="96"/>
      <c r="H184" s="86"/>
      <c r="I184" s="86"/>
      <c r="J184" s="86"/>
      <c r="K184" s="97" t="s">
        <v>212</v>
      </c>
      <c r="L184" s="29"/>
      <c r="M184" s="29"/>
      <c r="N184" s="29"/>
      <c r="O184" s="6"/>
    </row>
    <row r="185" spans="1:15" ht="15.75">
      <c r="A185" s="95"/>
      <c r="B185" s="74" t="s">
        <v>131</v>
      </c>
      <c r="C185" s="96"/>
      <c r="D185" s="96"/>
      <c r="E185" s="99">
        <v>9.94</v>
      </c>
      <c r="F185" s="96"/>
      <c r="G185" s="99">
        <v>3.91</v>
      </c>
      <c r="H185" s="86"/>
      <c r="I185" s="86"/>
      <c r="J185" s="86"/>
      <c r="K185" s="100">
        <v>6.791</v>
      </c>
      <c r="L185" s="29"/>
      <c r="M185" s="29"/>
      <c r="N185" s="29"/>
      <c r="O185" s="6"/>
    </row>
    <row r="186" spans="1:15" ht="15.75">
      <c r="A186" s="95"/>
      <c r="B186" s="74" t="s">
        <v>132</v>
      </c>
      <c r="C186" s="96"/>
      <c r="D186" s="96"/>
      <c r="E186" s="101">
        <v>9.907</v>
      </c>
      <c r="F186" s="99"/>
      <c r="G186" s="99">
        <v>3.48</v>
      </c>
      <c r="H186" s="86"/>
      <c r="I186" s="86"/>
      <c r="J186" s="86"/>
      <c r="K186" s="100">
        <v>6.56</v>
      </c>
      <c r="L186" s="29"/>
      <c r="M186" s="29"/>
      <c r="N186" s="29"/>
      <c r="O186" s="6"/>
    </row>
    <row r="187" spans="1:15" ht="15.75">
      <c r="A187" s="95"/>
      <c r="B187" s="74" t="s">
        <v>133</v>
      </c>
      <c r="C187" s="96"/>
      <c r="D187" s="96"/>
      <c r="E187" s="96"/>
      <c r="F187" s="96"/>
      <c r="G187" s="96"/>
      <c r="H187" s="86"/>
      <c r="I187" s="86"/>
      <c r="J187" s="86"/>
      <c r="K187" s="97">
        <f>G88/SUM(E61:E65)</f>
        <v>0.12092886070492677</v>
      </c>
      <c r="L187" s="29"/>
      <c r="M187" s="29"/>
      <c r="N187" s="29"/>
      <c r="O187" s="6"/>
    </row>
    <row r="188" spans="1:15" ht="15.75">
      <c r="A188" s="95"/>
      <c r="B188" s="74"/>
      <c r="C188" s="74"/>
      <c r="D188" s="74"/>
      <c r="E188" s="74"/>
      <c r="F188" s="74"/>
      <c r="G188" s="74"/>
      <c r="H188" s="29"/>
      <c r="I188" s="29"/>
      <c r="J188" s="37"/>
      <c r="K188" s="102"/>
      <c r="L188" s="29"/>
      <c r="M188" s="103"/>
      <c r="N188" s="29"/>
      <c r="O188" s="6"/>
    </row>
    <row r="189" spans="1:15" ht="15.75">
      <c r="A189" s="104"/>
      <c r="B189" s="17" t="s">
        <v>134</v>
      </c>
      <c r="C189" s="20"/>
      <c r="D189" s="20"/>
      <c r="E189" s="105"/>
      <c r="F189" s="20"/>
      <c r="G189" s="105"/>
      <c r="H189" s="20"/>
      <c r="I189" s="105"/>
      <c r="J189" s="20" t="s">
        <v>206</v>
      </c>
      <c r="K189" s="105" t="s">
        <v>213</v>
      </c>
      <c r="L189" s="18"/>
      <c r="M189" s="18"/>
      <c r="N189" s="9"/>
      <c r="O189" s="6"/>
    </row>
    <row r="190" spans="1:15" ht="15.75">
      <c r="A190" s="106"/>
      <c r="B190" s="74" t="s">
        <v>135</v>
      </c>
      <c r="C190" s="67"/>
      <c r="D190" s="67"/>
      <c r="E190" s="67"/>
      <c r="F190" s="67"/>
      <c r="G190" s="29"/>
      <c r="H190" s="29"/>
      <c r="I190" s="29"/>
      <c r="J190" s="29">
        <v>52</v>
      </c>
      <c r="K190" s="66">
        <v>322</v>
      </c>
      <c r="L190" s="66"/>
      <c r="M190" s="103"/>
      <c r="N190" s="107"/>
      <c r="O190" s="6"/>
    </row>
    <row r="191" spans="1:15" ht="15.75">
      <c r="A191" s="106"/>
      <c r="B191" s="74" t="s">
        <v>136</v>
      </c>
      <c r="C191" s="67"/>
      <c r="D191" s="67"/>
      <c r="E191" s="67"/>
      <c r="F191" s="67"/>
      <c r="G191" s="29"/>
      <c r="H191" s="29"/>
      <c r="I191" s="29"/>
      <c r="J191" s="29">
        <v>17</v>
      </c>
      <c r="K191" s="66">
        <v>166</v>
      </c>
      <c r="L191" s="66"/>
      <c r="M191" s="103"/>
      <c r="N191" s="107"/>
      <c r="O191" s="6"/>
    </row>
    <row r="192" spans="1:15" ht="15.75">
      <c r="A192" s="106"/>
      <c r="B192" s="74"/>
      <c r="C192" s="67"/>
      <c r="D192" s="67"/>
      <c r="E192" s="67"/>
      <c r="F192" s="67"/>
      <c r="G192" s="29"/>
      <c r="H192" s="29"/>
      <c r="I192" s="29"/>
      <c r="J192" s="29"/>
      <c r="K192" s="66"/>
      <c r="L192" s="66"/>
      <c r="M192" s="103"/>
      <c r="N192" s="107"/>
      <c r="O192" s="6"/>
    </row>
    <row r="193" spans="1:15" ht="15.75">
      <c r="A193" s="106"/>
      <c r="B193" s="74" t="s">
        <v>137</v>
      </c>
      <c r="C193" s="67"/>
      <c r="D193" s="67"/>
      <c r="E193" s="67"/>
      <c r="F193" s="67"/>
      <c r="G193" s="29"/>
      <c r="H193" s="29"/>
      <c r="I193" s="29"/>
      <c r="J193" s="29">
        <v>56</v>
      </c>
      <c r="K193" s="66">
        <v>747</v>
      </c>
      <c r="L193" s="66"/>
      <c r="M193" s="103"/>
      <c r="N193" s="107"/>
      <c r="O193" s="6"/>
    </row>
    <row r="194" spans="1:15" ht="15.75">
      <c r="A194" s="106"/>
      <c r="B194" s="74" t="s">
        <v>138</v>
      </c>
      <c r="C194" s="67"/>
      <c r="D194" s="67"/>
      <c r="E194" s="67"/>
      <c r="F194" s="67"/>
      <c r="G194" s="29"/>
      <c r="H194" s="29"/>
      <c r="I194" s="29"/>
      <c r="J194" s="29">
        <v>0</v>
      </c>
      <c r="K194" s="66">
        <v>0</v>
      </c>
      <c r="L194" s="66"/>
      <c r="M194" s="103"/>
      <c r="N194" s="107"/>
      <c r="O194" s="6"/>
    </row>
    <row r="195" spans="1:15" ht="15.75">
      <c r="A195" s="106"/>
      <c r="B195" s="74"/>
      <c r="C195" s="67"/>
      <c r="D195" s="67"/>
      <c r="E195" s="67"/>
      <c r="F195" s="67"/>
      <c r="G195" s="29"/>
      <c r="H195" s="29"/>
      <c r="I195" s="29"/>
      <c r="J195" s="29"/>
      <c r="K195" s="66"/>
      <c r="L195" s="66"/>
      <c r="M195" s="103"/>
      <c r="N195" s="107"/>
      <c r="O195" s="6"/>
    </row>
    <row r="196" spans="1:15" ht="15.75">
      <c r="A196" s="106"/>
      <c r="B196" s="162" t="s">
        <v>139</v>
      </c>
      <c r="C196" s="67"/>
      <c r="D196" s="67"/>
      <c r="E196" s="67"/>
      <c r="F196" s="67"/>
      <c r="G196" s="29"/>
      <c r="H196" s="29"/>
      <c r="I196" s="29"/>
      <c r="J196" s="29"/>
      <c r="K196" s="73" t="s">
        <v>214</v>
      </c>
      <c r="L196" s="29"/>
      <c r="M196" s="103"/>
      <c r="N196" s="107"/>
      <c r="O196" s="6"/>
    </row>
    <row r="197" spans="1:15" ht="15.75">
      <c r="A197" s="106"/>
      <c r="B197" s="162" t="s">
        <v>140</v>
      </c>
      <c r="C197" s="67"/>
      <c r="D197" s="67"/>
      <c r="E197" s="67"/>
      <c r="F197" s="67"/>
      <c r="G197" s="29"/>
      <c r="H197" s="29"/>
      <c r="I197" s="29"/>
      <c r="J197" s="29"/>
      <c r="K197" s="66">
        <f>-I72</f>
        <v>21320</v>
      </c>
      <c r="L197" s="29"/>
      <c r="M197" s="103"/>
      <c r="N197" s="107"/>
      <c r="O197" s="6"/>
    </row>
    <row r="198" spans="1:15" ht="15.75">
      <c r="A198" s="108"/>
      <c r="B198" s="162" t="s">
        <v>141</v>
      </c>
      <c r="C198" s="67"/>
      <c r="D198" s="67"/>
      <c r="E198" s="74"/>
      <c r="F198" s="74"/>
      <c r="G198" s="74"/>
      <c r="H198" s="29"/>
      <c r="I198" s="29"/>
      <c r="J198" s="29"/>
      <c r="K198" s="73"/>
      <c r="L198" s="29"/>
      <c r="M198" s="103"/>
      <c r="N198" s="109"/>
      <c r="O198" s="6"/>
    </row>
    <row r="199" spans="1:15" ht="15.75">
      <c r="A199" s="108"/>
      <c r="B199" s="74" t="s">
        <v>142</v>
      </c>
      <c r="C199" s="67"/>
      <c r="D199" s="67"/>
      <c r="E199" s="74"/>
      <c r="F199" s="74"/>
      <c r="G199" s="74"/>
      <c r="H199" s="29"/>
      <c r="I199" s="29"/>
      <c r="J199" s="29"/>
      <c r="K199" s="89">
        <v>190</v>
      </c>
      <c r="L199" s="29"/>
      <c r="M199" s="103"/>
      <c r="N199" s="109"/>
      <c r="O199" s="6"/>
    </row>
    <row r="200" spans="1:15" ht="15.75">
      <c r="A200" s="108"/>
      <c r="B200" s="74" t="s">
        <v>143</v>
      </c>
      <c r="C200" s="67"/>
      <c r="D200" s="67"/>
      <c r="E200" s="74"/>
      <c r="F200" s="74"/>
      <c r="G200" s="74"/>
      <c r="H200" s="29"/>
      <c r="I200" s="29"/>
      <c r="J200" s="29"/>
      <c r="K200" s="89">
        <v>589</v>
      </c>
      <c r="L200" s="29"/>
      <c r="M200" s="103"/>
      <c r="N200" s="109"/>
      <c r="O200" s="6"/>
    </row>
    <row r="201" spans="1:15" ht="15.75">
      <c r="A201" s="108"/>
      <c r="B201" s="74" t="s">
        <v>144</v>
      </c>
      <c r="C201" s="67"/>
      <c r="D201" s="67"/>
      <c r="E201" s="74"/>
      <c r="F201" s="74"/>
      <c r="G201" s="74"/>
      <c r="H201" s="29"/>
      <c r="I201" s="29"/>
      <c r="J201" s="29"/>
      <c r="K201" s="89">
        <v>39</v>
      </c>
      <c r="L201" s="29"/>
      <c r="M201" s="103"/>
      <c r="N201" s="109"/>
      <c r="O201" s="6"/>
    </row>
    <row r="202" spans="1:15" ht="15.75">
      <c r="A202" s="108"/>
      <c r="B202" s="74"/>
      <c r="C202" s="67"/>
      <c r="D202" s="67"/>
      <c r="E202" s="74"/>
      <c r="F202" s="74"/>
      <c r="G202" s="74"/>
      <c r="H202" s="29"/>
      <c r="I202" s="29"/>
      <c r="J202" s="29"/>
      <c r="K202" s="89"/>
      <c r="L202" s="29"/>
      <c r="M202" s="103"/>
      <c r="N202" s="109"/>
      <c r="O202" s="6"/>
    </row>
    <row r="203" spans="1:15" ht="15.75">
      <c r="A203" s="106"/>
      <c r="B203" s="74" t="s">
        <v>145</v>
      </c>
      <c r="C203" s="67"/>
      <c r="D203" s="67"/>
      <c r="E203" s="67"/>
      <c r="F203" s="67"/>
      <c r="G203" s="67"/>
      <c r="H203" s="29"/>
      <c r="I203" s="29"/>
      <c r="J203" s="29"/>
      <c r="K203" s="66">
        <v>7</v>
      </c>
      <c r="L203" s="29"/>
      <c r="M203" s="103"/>
      <c r="N203" s="109"/>
      <c r="O203" s="6"/>
    </row>
    <row r="204" spans="1:15" ht="15.75">
      <c r="A204" s="106"/>
      <c r="B204" s="74" t="s">
        <v>146</v>
      </c>
      <c r="C204" s="67"/>
      <c r="D204" s="67"/>
      <c r="E204" s="67"/>
      <c r="F204" s="67"/>
      <c r="G204" s="67"/>
      <c r="H204" s="29"/>
      <c r="I204" s="29"/>
      <c r="J204" s="29"/>
      <c r="K204" s="66">
        <v>32</v>
      </c>
      <c r="L204" s="29"/>
      <c r="M204" s="103"/>
      <c r="N204" s="109"/>
      <c r="O204" s="6"/>
    </row>
    <row r="205" spans="1:15" ht="15.75">
      <c r="A205" s="106"/>
      <c r="B205" s="74" t="s">
        <v>144</v>
      </c>
      <c r="C205" s="67"/>
      <c r="D205" s="67"/>
      <c r="E205" s="67"/>
      <c r="F205" s="67"/>
      <c r="G205" s="67"/>
      <c r="H205" s="29"/>
      <c r="I205" s="29"/>
      <c r="J205" s="29"/>
      <c r="K205" s="66"/>
      <c r="L205" s="29"/>
      <c r="M205" s="103"/>
      <c r="N205" s="109"/>
      <c r="O205" s="6"/>
    </row>
    <row r="206" spans="1:15" ht="15.75">
      <c r="A206" s="106"/>
      <c r="B206" s="74"/>
      <c r="C206" s="67"/>
      <c r="D206" s="67"/>
      <c r="E206" s="67"/>
      <c r="F206" s="67"/>
      <c r="G206" s="67"/>
      <c r="H206" s="29"/>
      <c r="I206" s="29"/>
      <c r="J206" s="29"/>
      <c r="K206" s="66"/>
      <c r="L206" s="29"/>
      <c r="M206" s="103"/>
      <c r="N206" s="109"/>
      <c r="O206" s="6"/>
    </row>
    <row r="207" spans="1:15" ht="15.75">
      <c r="A207" s="108"/>
      <c r="B207" s="162" t="s">
        <v>147</v>
      </c>
      <c r="C207" s="67"/>
      <c r="D207" s="67"/>
      <c r="E207" s="74"/>
      <c r="F207" s="74"/>
      <c r="G207" s="74"/>
      <c r="H207" s="29"/>
      <c r="I207" s="29"/>
      <c r="J207" s="29"/>
      <c r="K207" s="110"/>
      <c r="L207" s="29"/>
      <c r="M207" s="103"/>
      <c r="N207" s="109"/>
      <c r="O207" s="6"/>
    </row>
    <row r="208" spans="1:15" ht="15.75">
      <c r="A208" s="108"/>
      <c r="B208" s="74" t="s">
        <v>148</v>
      </c>
      <c r="C208" s="67"/>
      <c r="D208" s="67"/>
      <c r="E208" s="74"/>
      <c r="F208" s="74"/>
      <c r="G208" s="74"/>
      <c r="H208" s="29"/>
      <c r="I208" s="29"/>
      <c r="J208" s="29"/>
      <c r="K208" s="110">
        <v>0</v>
      </c>
      <c r="L208" s="29"/>
      <c r="M208" s="103"/>
      <c r="N208" s="109"/>
      <c r="O208" s="6"/>
    </row>
    <row r="209" spans="1:15" ht="15.75">
      <c r="A209" s="106"/>
      <c r="B209" s="74" t="s">
        <v>149</v>
      </c>
      <c r="C209" s="67"/>
      <c r="D209" s="67"/>
      <c r="E209" s="111"/>
      <c r="F209" s="111"/>
      <c r="G209" s="112"/>
      <c r="H209" s="29"/>
      <c r="I209" s="29"/>
      <c r="J209" s="29"/>
      <c r="K209" s="110">
        <v>0</v>
      </c>
      <c r="L209" s="29"/>
      <c r="M209" s="103"/>
      <c r="N209" s="109"/>
      <c r="O209" s="6"/>
    </row>
    <row r="210" spans="1:15" ht="15.75">
      <c r="A210" s="106"/>
      <c r="B210" s="74" t="s">
        <v>150</v>
      </c>
      <c r="C210" s="67"/>
      <c r="D210" s="67"/>
      <c r="E210" s="111"/>
      <c r="F210" s="111"/>
      <c r="G210" s="112"/>
      <c r="H210" s="29"/>
      <c r="I210" s="29"/>
      <c r="J210" s="29"/>
      <c r="K210" s="110">
        <v>0</v>
      </c>
      <c r="L210" s="29"/>
      <c r="M210" s="103"/>
      <c r="N210" s="109"/>
      <c r="O210" s="6"/>
    </row>
    <row r="211" spans="1:15" ht="15.75">
      <c r="A211" s="106"/>
      <c r="B211" s="74" t="s">
        <v>151</v>
      </c>
      <c r="C211" s="67"/>
      <c r="D211" s="67"/>
      <c r="E211" s="113"/>
      <c r="F211" s="111"/>
      <c r="G211" s="112"/>
      <c r="H211" s="29"/>
      <c r="I211" s="29"/>
      <c r="J211" s="29"/>
      <c r="K211" s="110">
        <v>0</v>
      </c>
      <c r="L211" s="29"/>
      <c r="M211" s="103"/>
      <c r="N211" s="109"/>
      <c r="O211" s="6"/>
    </row>
    <row r="212" spans="1:15" ht="15.75">
      <c r="A212" s="106"/>
      <c r="B212" s="74"/>
      <c r="C212" s="67"/>
      <c r="D212" s="67"/>
      <c r="E212" s="113"/>
      <c r="F212" s="111"/>
      <c r="G212" s="112"/>
      <c r="H212" s="29"/>
      <c r="I212" s="37"/>
      <c r="J212" s="37"/>
      <c r="K212" s="114"/>
      <c r="L212" s="37"/>
      <c r="M212" s="103"/>
      <c r="N212" s="109"/>
      <c r="O212" s="6"/>
    </row>
    <row r="213" spans="1:15" ht="15.75">
      <c r="A213" s="106"/>
      <c r="B213" s="162" t="s">
        <v>152</v>
      </c>
      <c r="C213" s="67"/>
      <c r="D213" s="67"/>
      <c r="E213" s="113"/>
      <c r="F213" s="111"/>
      <c r="G213" s="112"/>
      <c r="H213" s="29"/>
      <c r="I213" s="37"/>
      <c r="J213" s="37"/>
      <c r="K213" s="114"/>
      <c r="L213" s="37"/>
      <c r="M213" s="103"/>
      <c r="N213" s="109"/>
      <c r="O213" s="6"/>
    </row>
    <row r="214" spans="1:15" ht="15.75">
      <c r="A214" s="106"/>
      <c r="B214" s="74" t="s">
        <v>153</v>
      </c>
      <c r="C214" s="67"/>
      <c r="D214" s="67"/>
      <c r="E214" s="113"/>
      <c r="F214" s="111"/>
      <c r="G214" s="112"/>
      <c r="H214" s="29"/>
      <c r="I214" s="37"/>
      <c r="J214" s="37"/>
      <c r="K214" s="115">
        <v>43</v>
      </c>
      <c r="L214" s="37"/>
      <c r="M214" s="103"/>
      <c r="N214" s="109"/>
      <c r="O214" s="6"/>
    </row>
    <row r="215" spans="1:15" ht="15.75">
      <c r="A215" s="106"/>
      <c r="B215" s="74" t="s">
        <v>149</v>
      </c>
      <c r="C215" s="67"/>
      <c r="D215" s="67"/>
      <c r="E215" s="113"/>
      <c r="F215" s="111"/>
      <c r="G215" s="112"/>
      <c r="H215" s="29"/>
      <c r="I215" s="37"/>
      <c r="J215" s="37"/>
      <c r="K215" s="115">
        <v>3.5</v>
      </c>
      <c r="L215" s="37"/>
      <c r="M215" s="103"/>
      <c r="N215" s="109"/>
      <c r="O215" s="6"/>
    </row>
    <row r="216" spans="1:15" ht="15.75">
      <c r="A216" s="106"/>
      <c r="B216" s="74" t="s">
        <v>154</v>
      </c>
      <c r="C216" s="67"/>
      <c r="D216" s="67"/>
      <c r="E216" s="113"/>
      <c r="F216" s="111"/>
      <c r="G216" s="112"/>
      <c r="H216" s="29"/>
      <c r="I216" s="37"/>
      <c r="J216" s="37"/>
      <c r="K216" s="115">
        <v>12</v>
      </c>
      <c r="L216" s="37"/>
      <c r="M216" s="103"/>
      <c r="N216" s="109"/>
      <c r="O216" s="6"/>
    </row>
    <row r="217" spans="1:15" ht="15.75">
      <c r="A217" s="106"/>
      <c r="B217" s="74"/>
      <c r="C217" s="67"/>
      <c r="D217" s="67"/>
      <c r="E217" s="113"/>
      <c r="F217" s="111"/>
      <c r="G217" s="112"/>
      <c r="H217" s="29"/>
      <c r="I217" s="37"/>
      <c r="J217" s="37"/>
      <c r="K217" s="114"/>
      <c r="L217" s="37"/>
      <c r="M217" s="103"/>
      <c r="N217" s="109"/>
      <c r="O217" s="6"/>
    </row>
    <row r="218" spans="1:15" ht="15.75">
      <c r="A218" s="28"/>
      <c r="B218" s="32" t="s">
        <v>155</v>
      </c>
      <c r="C218" s="119"/>
      <c r="D218" s="119"/>
      <c r="E218" s="120"/>
      <c r="F218" s="119"/>
      <c r="G218" s="120"/>
      <c r="H218" s="119"/>
      <c r="I218" s="120" t="s">
        <v>206</v>
      </c>
      <c r="J218" s="119" t="s">
        <v>208</v>
      </c>
      <c r="K218" s="120" t="s">
        <v>215</v>
      </c>
      <c r="L218" s="119" t="s">
        <v>208</v>
      </c>
      <c r="M218" s="121"/>
      <c r="N218" s="109"/>
      <c r="O218" s="6"/>
    </row>
    <row r="219" spans="1:15" ht="15.75">
      <c r="A219" s="28"/>
      <c r="B219" s="67" t="s">
        <v>156</v>
      </c>
      <c r="C219" s="116"/>
      <c r="D219" s="116"/>
      <c r="E219" s="67"/>
      <c r="F219" s="116"/>
      <c r="G219" s="29"/>
      <c r="H219" s="116"/>
      <c r="I219" s="67">
        <v>7188</v>
      </c>
      <c r="J219" s="116">
        <f>I219/I223</f>
        <v>0.9618627057406663</v>
      </c>
      <c r="K219" s="66">
        <v>80910</v>
      </c>
      <c r="L219" s="117">
        <f>K219/K223</f>
        <v>0.9580136402387042</v>
      </c>
      <c r="M219" s="103"/>
      <c r="N219" s="109"/>
      <c r="O219" s="6"/>
    </row>
    <row r="220" spans="1:15" ht="15.75">
      <c r="A220" s="28"/>
      <c r="B220" s="67" t="s">
        <v>157</v>
      </c>
      <c r="C220" s="116"/>
      <c r="D220" s="116"/>
      <c r="E220" s="67"/>
      <c r="F220" s="116"/>
      <c r="G220" s="29"/>
      <c r="H220" s="118"/>
      <c r="I220" s="67">
        <v>118</v>
      </c>
      <c r="J220" s="116">
        <f>I220/I223</f>
        <v>0.015790177974039876</v>
      </c>
      <c r="K220" s="66">
        <v>1504</v>
      </c>
      <c r="L220" s="117">
        <f>K220/K223</f>
        <v>0.017808089419342615</v>
      </c>
      <c r="M220" s="103"/>
      <c r="N220" s="109"/>
      <c r="O220" s="6"/>
    </row>
    <row r="221" spans="1:15" ht="15.75">
      <c r="A221" s="28"/>
      <c r="B221" s="67" t="s">
        <v>158</v>
      </c>
      <c r="C221" s="116"/>
      <c r="D221" s="116"/>
      <c r="E221" s="67"/>
      <c r="F221" s="116"/>
      <c r="G221" s="29"/>
      <c r="H221" s="118"/>
      <c r="I221" s="67">
        <v>61</v>
      </c>
      <c r="J221" s="116">
        <f>I221/I223</f>
        <v>0.008162719122173156</v>
      </c>
      <c r="K221" s="66">
        <v>750</v>
      </c>
      <c r="L221" s="117">
        <f>K221/K223</f>
        <v>0.008880363739698778</v>
      </c>
      <c r="M221" s="103"/>
      <c r="N221" s="109"/>
      <c r="O221" s="6"/>
    </row>
    <row r="222" spans="1:15" ht="15.75">
      <c r="A222" s="28"/>
      <c r="B222" s="67" t="s">
        <v>159</v>
      </c>
      <c r="C222" s="116"/>
      <c r="D222" s="116"/>
      <c r="E222" s="67"/>
      <c r="F222" s="116"/>
      <c r="G222" s="29"/>
      <c r="H222" s="118"/>
      <c r="I222" s="67">
        <f>36+25+12+17+16</f>
        <v>106</v>
      </c>
      <c r="J222" s="116">
        <f>I222/I223</f>
        <v>0.014184397163120567</v>
      </c>
      <c r="K222" s="66">
        <f>460+307+161+215+149</f>
        <v>1292</v>
      </c>
      <c r="L222" s="117">
        <f>K222/K223</f>
        <v>0.015297906602254429</v>
      </c>
      <c r="M222" s="103"/>
      <c r="N222" s="109"/>
      <c r="O222" s="6"/>
    </row>
    <row r="223" spans="1:15" ht="15.75">
      <c r="A223" s="28"/>
      <c r="B223" s="29"/>
      <c r="C223" s="29"/>
      <c r="D223" s="29"/>
      <c r="E223" s="37"/>
      <c r="F223" s="29"/>
      <c r="G223" s="29"/>
      <c r="H223" s="29"/>
      <c r="I223" s="65">
        <f>SUM(I219:I222)</f>
        <v>7473</v>
      </c>
      <c r="J223" s="117">
        <f>SUM(J219:J222)</f>
        <v>1</v>
      </c>
      <c r="K223" s="66">
        <f>SUM(K219:K222)</f>
        <v>84456</v>
      </c>
      <c r="L223" s="117">
        <f>SUM(L219:L222)</f>
        <v>1</v>
      </c>
      <c r="M223" s="103"/>
      <c r="N223" s="29"/>
      <c r="O223" s="6"/>
    </row>
    <row r="224" spans="1:15" ht="15.75">
      <c r="A224" s="28"/>
      <c r="B224" s="29"/>
      <c r="C224" s="29"/>
      <c r="D224" s="29"/>
      <c r="E224" s="37"/>
      <c r="F224" s="29"/>
      <c r="G224" s="29"/>
      <c r="H224" s="29"/>
      <c r="I224" s="65"/>
      <c r="J224" s="117"/>
      <c r="K224" s="66"/>
      <c r="L224" s="117"/>
      <c r="M224" s="103"/>
      <c r="N224" s="29"/>
      <c r="O224" s="6"/>
    </row>
    <row r="225" spans="1:15" ht="15.75">
      <c r="A225" s="28"/>
      <c r="B225" s="32" t="s">
        <v>160</v>
      </c>
      <c r="C225" s="119"/>
      <c r="D225" s="119"/>
      <c r="E225" s="120"/>
      <c r="F225" s="119"/>
      <c r="G225" s="120"/>
      <c r="H225" s="119"/>
      <c r="I225" s="120" t="s">
        <v>206</v>
      </c>
      <c r="J225" s="119" t="s">
        <v>208</v>
      </c>
      <c r="K225" s="120" t="s">
        <v>215</v>
      </c>
      <c r="L225" s="119" t="s">
        <v>208</v>
      </c>
      <c r="M225" s="121"/>
      <c r="N225" s="109"/>
      <c r="O225" s="6"/>
    </row>
    <row r="226" spans="1:15" ht="15.75">
      <c r="A226" s="28"/>
      <c r="B226" s="67" t="s">
        <v>156</v>
      </c>
      <c r="C226" s="116"/>
      <c r="D226" s="116"/>
      <c r="E226" s="67"/>
      <c r="F226" s="116"/>
      <c r="G226" s="29"/>
      <c r="H226" s="116"/>
      <c r="I226" s="67">
        <v>15263</v>
      </c>
      <c r="J226" s="116">
        <f>I226/I230</f>
        <v>0.9847732111749146</v>
      </c>
      <c r="K226" s="66">
        <v>89957</v>
      </c>
      <c r="L226" s="116">
        <f>K226/K230</f>
        <v>0.9815382601010376</v>
      </c>
      <c r="M226" s="103"/>
      <c r="N226" s="109"/>
      <c r="O226" s="6"/>
    </row>
    <row r="227" spans="1:15" ht="15.75">
      <c r="A227" s="28"/>
      <c r="B227" s="67" t="s">
        <v>157</v>
      </c>
      <c r="C227" s="116"/>
      <c r="D227" s="116"/>
      <c r="E227" s="67"/>
      <c r="F227" s="116"/>
      <c r="G227" s="29"/>
      <c r="H227" s="118"/>
      <c r="I227" s="67">
        <v>118</v>
      </c>
      <c r="J227" s="116">
        <f>I227/I230</f>
        <v>0.007613394412542745</v>
      </c>
      <c r="K227" s="66">
        <v>830</v>
      </c>
      <c r="L227" s="116">
        <f>K227/K230</f>
        <v>0.009056290848781765</v>
      </c>
      <c r="M227" s="103"/>
      <c r="N227" s="109"/>
      <c r="O227" s="6"/>
    </row>
    <row r="228" spans="1:15" ht="15.75">
      <c r="A228" s="28"/>
      <c r="B228" s="67" t="s">
        <v>158</v>
      </c>
      <c r="C228" s="116"/>
      <c r="D228" s="116"/>
      <c r="E228" s="67"/>
      <c r="F228" s="116"/>
      <c r="G228" s="29"/>
      <c r="H228" s="118"/>
      <c r="I228" s="67">
        <v>46</v>
      </c>
      <c r="J228" s="116">
        <f>I228/I230</f>
        <v>0.002967933415059036</v>
      </c>
      <c r="K228" s="66">
        <v>332</v>
      </c>
      <c r="L228" s="116">
        <f>K228/K230</f>
        <v>0.0036225163395127062</v>
      </c>
      <c r="M228" s="103"/>
      <c r="N228" s="109"/>
      <c r="O228" s="6"/>
    </row>
    <row r="229" spans="1:15" ht="15.75">
      <c r="A229" s="28"/>
      <c r="B229" s="67" t="s">
        <v>159</v>
      </c>
      <c r="C229" s="116"/>
      <c r="D229" s="116"/>
      <c r="E229" s="67"/>
      <c r="F229" s="116"/>
      <c r="G229" s="29"/>
      <c r="H229" s="118"/>
      <c r="I229" s="67">
        <f>20+15+5+13+19</f>
        <v>72</v>
      </c>
      <c r="J229" s="116">
        <f>I229/I230</f>
        <v>0.004645460997483709</v>
      </c>
      <c r="K229" s="66">
        <f>150+134+14+79+153</f>
        <v>530</v>
      </c>
      <c r="L229" s="116">
        <f>K229/K230</f>
        <v>0.0057829327106678746</v>
      </c>
      <c r="M229" s="103"/>
      <c r="N229" s="109"/>
      <c r="O229" s="6"/>
    </row>
    <row r="230" spans="1:15" ht="15.75">
      <c r="A230" s="28"/>
      <c r="B230" s="29"/>
      <c r="C230" s="29"/>
      <c r="D230" s="29"/>
      <c r="E230" s="37"/>
      <c r="F230" s="29"/>
      <c r="G230" s="29"/>
      <c r="H230" s="29"/>
      <c r="I230" s="65">
        <f>SUM(I226:I229)</f>
        <v>15499</v>
      </c>
      <c r="J230" s="117">
        <f>SUM(J226:J229)</f>
        <v>1</v>
      </c>
      <c r="K230" s="66">
        <f>SUM(K226:K229)</f>
        <v>91649</v>
      </c>
      <c r="L230" s="117">
        <f>SUM(L226:L229)</f>
        <v>1</v>
      </c>
      <c r="M230" s="103"/>
      <c r="N230" s="29"/>
      <c r="O230" s="6"/>
    </row>
    <row r="231" spans="1:15" ht="15.75">
      <c r="A231" s="28"/>
      <c r="B231" s="29"/>
      <c r="C231" s="29"/>
      <c r="D231" s="29"/>
      <c r="E231" s="37"/>
      <c r="F231" s="29"/>
      <c r="G231" s="29"/>
      <c r="H231" s="29"/>
      <c r="I231" s="65"/>
      <c r="J231" s="117"/>
      <c r="K231" s="66"/>
      <c r="L231" s="117"/>
      <c r="M231" s="103"/>
      <c r="N231" s="29"/>
      <c r="O231" s="6"/>
    </row>
    <row r="232" spans="1:15" ht="15.75">
      <c r="A232" s="28"/>
      <c r="B232" s="29" t="s">
        <v>161</v>
      </c>
      <c r="C232" s="29"/>
      <c r="D232" s="29"/>
      <c r="E232" s="37"/>
      <c r="F232" s="29"/>
      <c r="G232" s="29"/>
      <c r="H232" s="29"/>
      <c r="I232" s="65"/>
      <c r="J232" s="117"/>
      <c r="K232" s="66">
        <f>K223+K230</f>
        <v>176105</v>
      </c>
      <c r="L232" s="117"/>
      <c r="M232" s="103"/>
      <c r="N232" s="29"/>
      <c r="O232" s="6"/>
    </row>
    <row r="233" spans="1:15" ht="15.75">
      <c r="A233" s="28"/>
      <c r="B233" s="29"/>
      <c r="C233" s="29"/>
      <c r="D233" s="29"/>
      <c r="E233" s="37"/>
      <c r="F233" s="29"/>
      <c r="G233" s="29"/>
      <c r="H233" s="29"/>
      <c r="I233" s="65"/>
      <c r="J233" s="117"/>
      <c r="K233" s="66"/>
      <c r="L233" s="117"/>
      <c r="M233" s="103"/>
      <c r="N233" s="29"/>
      <c r="O233" s="6"/>
    </row>
    <row r="234" spans="1:15" ht="15.75">
      <c r="A234" s="28"/>
      <c r="B234" s="29"/>
      <c r="C234" s="29"/>
      <c r="D234" s="29"/>
      <c r="E234" s="37"/>
      <c r="F234" s="29"/>
      <c r="G234" s="29"/>
      <c r="H234" s="29"/>
      <c r="I234" s="65"/>
      <c r="J234" s="117"/>
      <c r="K234" s="66"/>
      <c r="L234" s="117"/>
      <c r="M234" s="103"/>
      <c r="N234" s="29"/>
      <c r="O234" s="6"/>
    </row>
    <row r="235" spans="1:15" ht="15.75">
      <c r="A235" s="122"/>
      <c r="B235" s="17" t="s">
        <v>162</v>
      </c>
      <c r="C235" s="123"/>
      <c r="D235" s="123"/>
      <c r="E235" s="20" t="s">
        <v>182</v>
      </c>
      <c r="F235" s="18"/>
      <c r="G235" s="17" t="s">
        <v>194</v>
      </c>
      <c r="H235" s="124"/>
      <c r="I235" s="124"/>
      <c r="J235" s="124"/>
      <c r="K235" s="125"/>
      <c r="L235" s="14"/>
      <c r="M235" s="14"/>
      <c r="N235" s="14"/>
      <c r="O235" s="6"/>
    </row>
    <row r="236" spans="1:15" ht="15.75">
      <c r="A236" s="122"/>
      <c r="B236" s="15" t="s">
        <v>163</v>
      </c>
      <c r="C236" s="126"/>
      <c r="D236" s="126"/>
      <c r="E236" s="127" t="s">
        <v>183</v>
      </c>
      <c r="F236" s="15"/>
      <c r="G236" s="15" t="s">
        <v>195</v>
      </c>
      <c r="H236" s="126"/>
      <c r="I236" s="126"/>
      <c r="J236" s="14"/>
      <c r="K236" s="14"/>
      <c r="L236" s="14"/>
      <c r="M236" s="14"/>
      <c r="N236" s="14"/>
      <c r="O236" s="6"/>
    </row>
    <row r="237" spans="1:15" ht="15.75">
      <c r="A237" s="122"/>
      <c r="B237" s="15" t="s">
        <v>164</v>
      </c>
      <c r="C237" s="126"/>
      <c r="D237" s="126"/>
      <c r="E237" s="127" t="s">
        <v>184</v>
      </c>
      <c r="F237" s="15"/>
      <c r="G237" s="15" t="s">
        <v>196</v>
      </c>
      <c r="H237" s="126"/>
      <c r="I237" s="126"/>
      <c r="J237" s="14"/>
      <c r="K237" s="14"/>
      <c r="L237" s="14"/>
      <c r="M237" s="14"/>
      <c r="N237" s="14"/>
      <c r="O237" s="6"/>
    </row>
    <row r="238" spans="1:15" ht="15.75">
      <c r="A238" s="122"/>
      <c r="B238" s="15"/>
      <c r="C238" s="126"/>
      <c r="D238" s="126"/>
      <c r="E238" s="127"/>
      <c r="F238" s="15"/>
      <c r="G238" s="15"/>
      <c r="H238" s="126"/>
      <c r="I238" s="126"/>
      <c r="J238" s="14"/>
      <c r="K238" s="14"/>
      <c r="L238" s="14"/>
      <c r="M238" s="14"/>
      <c r="N238" s="14"/>
      <c r="O238" s="6"/>
    </row>
    <row r="239" spans="1:15" ht="15.75">
      <c r="A239" s="122"/>
      <c r="B239" s="15"/>
      <c r="C239" s="126"/>
      <c r="D239" s="126"/>
      <c r="E239" s="127"/>
      <c r="F239" s="15"/>
      <c r="G239" s="15"/>
      <c r="H239" s="126"/>
      <c r="I239" s="126"/>
      <c r="J239" s="14"/>
      <c r="K239" s="14"/>
      <c r="L239" s="14"/>
      <c r="M239" s="14"/>
      <c r="N239" s="14"/>
      <c r="O239" s="6"/>
    </row>
    <row r="240" spans="1:15" ht="15.75">
      <c r="A240" s="122"/>
      <c r="B240" s="15" t="s">
        <v>229</v>
      </c>
      <c r="C240" s="126"/>
      <c r="D240" s="126"/>
      <c r="E240" s="127"/>
      <c r="F240" s="15"/>
      <c r="G240" s="15"/>
      <c r="H240" s="126"/>
      <c r="I240" s="126"/>
      <c r="J240" s="14"/>
      <c r="K240" s="14"/>
      <c r="L240" s="14"/>
      <c r="M240" s="14"/>
      <c r="N240" s="14"/>
      <c r="O240" s="6"/>
    </row>
    <row r="241" spans="1:14" ht="15">
      <c r="A241" s="130"/>
      <c r="B241" s="130"/>
      <c r="C241" s="130"/>
      <c r="D241" s="130"/>
      <c r="E241" s="130"/>
      <c r="F241" s="130"/>
      <c r="G241" s="130"/>
      <c r="H241" s="130"/>
      <c r="I241" s="130"/>
      <c r="J241" s="130"/>
      <c r="K241" s="130"/>
      <c r="L241" s="130"/>
      <c r="M241" s="130"/>
      <c r="N241" s="130"/>
    </row>
  </sheetData>
  <printOptions horizontalCentered="1" verticalCentered="1"/>
  <pageMargins left="0.2362204724409449" right="0.4330708661417323" top="0.2362204724409449" bottom="0.31496062992125984" header="0" footer="0"/>
  <pageSetup horizontalDpi="600" verticalDpi="600" orientation="landscape" paperSize="9" scale="50" r:id="rId2"/>
  <rowBreaks count="3" manualBreakCount="3">
    <brk id="53" max="255" man="1"/>
    <brk id="116" max="255" man="1"/>
    <brk id="174" max="255" man="1"/>
  </rowBreaks>
  <drawing r:id="rId1"/>
</worksheet>
</file>

<file path=xl/worksheets/sheet4.xml><?xml version="1.0" encoding="utf-8"?>
<worksheet xmlns="http://schemas.openxmlformats.org/spreadsheetml/2006/main" xmlns:r="http://schemas.openxmlformats.org/officeDocument/2006/relationships">
  <dimension ref="A1:O24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49.6640625" style="1" customWidth="1"/>
    <col min="3" max="3" width="12.6640625" style="1" customWidth="1"/>
    <col min="4" max="4" width="18.6640625" style="1" customWidth="1"/>
    <col min="5" max="5" width="14.6640625" style="1" customWidth="1"/>
    <col min="6" max="6" width="4.6640625" style="1" customWidth="1"/>
    <col min="7" max="7" width="14.6640625" style="1" customWidth="1"/>
    <col min="8" max="8" width="4.6640625" style="1" customWidth="1"/>
    <col min="9" max="9" width="19.6640625" style="1" customWidth="1"/>
    <col min="10" max="10" width="6.6640625" style="1" customWidth="1"/>
    <col min="11" max="11" width="11.6640625" style="1" customWidth="1"/>
    <col min="12" max="12" width="8.6640625" style="1" customWidth="1"/>
    <col min="13" max="13" width="14.6640625" style="1" customWidth="1"/>
    <col min="14" max="14" width="2.6640625" style="1" customWidth="1"/>
    <col min="15" max="16384" width="9.6640625" style="1" customWidth="1"/>
  </cols>
  <sheetData>
    <row r="1" spans="1:15" ht="20.25">
      <c r="A1" s="2"/>
      <c r="B1" s="3" t="s">
        <v>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44" t="s">
        <v>1</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2</v>
      </c>
      <c r="C5" s="13"/>
      <c r="D5" s="13"/>
      <c r="E5" s="9"/>
      <c r="F5" s="9"/>
      <c r="G5" s="9"/>
      <c r="H5" s="9"/>
      <c r="I5" s="9"/>
      <c r="J5" s="9"/>
      <c r="K5" s="9"/>
      <c r="L5" s="9"/>
      <c r="M5" s="9"/>
      <c r="N5" s="9"/>
      <c r="O5" s="6"/>
    </row>
    <row r="6" spans="1:15" ht="15.75">
      <c r="A6" s="7"/>
      <c r="B6" s="12" t="s">
        <v>3</v>
      </c>
      <c r="C6" s="13"/>
      <c r="D6" s="13"/>
      <c r="E6" s="9"/>
      <c r="F6" s="9"/>
      <c r="G6" s="9"/>
      <c r="H6" s="9"/>
      <c r="I6" s="9"/>
      <c r="J6" s="9"/>
      <c r="K6" s="9"/>
      <c r="L6" s="9"/>
      <c r="M6" s="9"/>
      <c r="N6" s="9"/>
      <c r="O6" s="6"/>
    </row>
    <row r="7" spans="1:15" ht="15.75">
      <c r="A7" s="7"/>
      <c r="B7" s="12" t="s">
        <v>4</v>
      </c>
      <c r="C7" s="13"/>
      <c r="D7" s="13"/>
      <c r="E7" s="9"/>
      <c r="F7" s="9"/>
      <c r="G7" s="9"/>
      <c r="H7" s="9"/>
      <c r="I7" s="9"/>
      <c r="J7" s="9"/>
      <c r="K7" s="9"/>
      <c r="L7" s="9"/>
      <c r="M7" s="9"/>
      <c r="N7" s="9"/>
      <c r="O7" s="6"/>
    </row>
    <row r="8" spans="1:15" ht="15.75">
      <c r="A8" s="7"/>
      <c r="B8" s="14"/>
      <c r="C8" s="13"/>
      <c r="D8" s="13"/>
      <c r="E8" s="9"/>
      <c r="F8" s="9"/>
      <c r="G8" s="9"/>
      <c r="H8" s="9"/>
      <c r="I8" s="9"/>
      <c r="J8" s="9"/>
      <c r="K8" s="9"/>
      <c r="L8" s="9"/>
      <c r="M8" s="9"/>
      <c r="N8" s="9"/>
      <c r="O8" s="6"/>
    </row>
    <row r="9" spans="1:15" ht="15.75">
      <c r="A9" s="7"/>
      <c r="B9" s="13"/>
      <c r="C9" s="13"/>
      <c r="D9" s="13"/>
      <c r="E9" s="15"/>
      <c r="F9" s="15"/>
      <c r="G9" s="9"/>
      <c r="H9" s="9"/>
      <c r="I9" s="9"/>
      <c r="J9" s="9"/>
      <c r="K9" s="9"/>
      <c r="L9" s="9"/>
      <c r="M9" s="9"/>
      <c r="N9" s="9"/>
      <c r="O9" s="6"/>
    </row>
    <row r="10" spans="1:15" ht="15.75">
      <c r="A10" s="7"/>
      <c r="B10" s="15" t="s">
        <v>5</v>
      </c>
      <c r="C10" s="15"/>
      <c r="D10" s="15"/>
      <c r="E10" s="9"/>
      <c r="F10" s="9"/>
      <c r="G10" s="9"/>
      <c r="H10" s="9"/>
      <c r="I10" s="9"/>
      <c r="J10" s="9"/>
      <c r="K10" s="9"/>
      <c r="L10" s="9"/>
      <c r="M10" s="9"/>
      <c r="N10" s="9"/>
      <c r="O10" s="6"/>
    </row>
    <row r="11" spans="1:15" ht="15.75">
      <c r="A11" s="7"/>
      <c r="B11" s="15"/>
      <c r="C11" s="15"/>
      <c r="D11" s="15"/>
      <c r="E11" s="9"/>
      <c r="F11" s="9"/>
      <c r="G11" s="9"/>
      <c r="H11" s="9"/>
      <c r="I11" s="9"/>
      <c r="J11" s="9"/>
      <c r="K11" s="9"/>
      <c r="L11" s="9"/>
      <c r="M11" s="9"/>
      <c r="N11" s="9"/>
      <c r="O11" s="6"/>
    </row>
    <row r="12" spans="1:15" ht="15.75">
      <c r="A12" s="2"/>
      <c r="B12" s="5"/>
      <c r="C12" s="5"/>
      <c r="D12" s="5"/>
      <c r="E12" s="5"/>
      <c r="F12" s="5"/>
      <c r="G12" s="5"/>
      <c r="H12" s="5"/>
      <c r="I12" s="5"/>
      <c r="J12" s="5"/>
      <c r="K12" s="5"/>
      <c r="L12" s="5"/>
      <c r="M12" s="5"/>
      <c r="N12" s="5"/>
      <c r="O12" s="6"/>
    </row>
    <row r="13" spans="1:15" ht="15.75">
      <c r="A13" s="7"/>
      <c r="B13" s="17" t="s">
        <v>6</v>
      </c>
      <c r="C13" s="17"/>
      <c r="D13" s="17"/>
      <c r="E13" s="18"/>
      <c r="F13" s="18"/>
      <c r="G13" s="18"/>
      <c r="H13" s="18"/>
      <c r="I13" s="18"/>
      <c r="J13" s="18"/>
      <c r="K13" s="18"/>
      <c r="L13" s="18"/>
      <c r="M13" s="19" t="s">
        <v>217</v>
      </c>
      <c r="N13" s="9"/>
      <c r="O13" s="6"/>
    </row>
    <row r="14" spans="1:15" ht="15.75">
      <c r="A14" s="7"/>
      <c r="B14" s="17" t="s">
        <v>7</v>
      </c>
      <c r="C14" s="17"/>
      <c r="D14" s="18"/>
      <c r="E14" s="18"/>
      <c r="F14" s="18"/>
      <c r="G14" s="18"/>
      <c r="H14" s="20" t="s">
        <v>197</v>
      </c>
      <c r="I14" s="21">
        <v>0.52</v>
      </c>
      <c r="J14" s="20" t="s">
        <v>207</v>
      </c>
      <c r="K14" s="21">
        <v>0.48</v>
      </c>
      <c r="L14" s="18"/>
      <c r="M14" s="19"/>
      <c r="N14" s="9"/>
      <c r="O14" s="6"/>
    </row>
    <row r="15" spans="1:15" ht="15.75">
      <c r="A15" s="7"/>
      <c r="B15" s="17" t="s">
        <v>8</v>
      </c>
      <c r="C15" s="17"/>
      <c r="D15" s="18"/>
      <c r="E15" s="18"/>
      <c r="F15" s="18"/>
      <c r="G15" s="18"/>
      <c r="H15" s="20" t="s">
        <v>197</v>
      </c>
      <c r="I15" s="21">
        <f>K233/K235</f>
        <v>0.5457498739515058</v>
      </c>
      <c r="J15" s="20" t="s">
        <v>207</v>
      </c>
      <c r="K15" s="21">
        <f>K226/K235</f>
        <v>0.4542501260484943</v>
      </c>
      <c r="L15" s="18"/>
      <c r="M15" s="19"/>
      <c r="N15" s="9"/>
      <c r="O15" s="6"/>
    </row>
    <row r="16" spans="1:15" ht="15.75">
      <c r="A16" s="7"/>
      <c r="B16" s="17" t="s">
        <v>9</v>
      </c>
      <c r="C16" s="17"/>
      <c r="D16" s="17"/>
      <c r="E16" s="18"/>
      <c r="F16" s="18"/>
      <c r="G16" s="18"/>
      <c r="H16" s="18"/>
      <c r="I16" s="18"/>
      <c r="J16" s="18"/>
      <c r="K16" s="18"/>
      <c r="L16" s="18"/>
      <c r="M16" s="20" t="s">
        <v>218</v>
      </c>
      <c r="N16" s="9"/>
      <c r="O16" s="6"/>
    </row>
    <row r="17" spans="1:15" ht="15.75">
      <c r="A17" s="7"/>
      <c r="B17" s="17" t="s">
        <v>10</v>
      </c>
      <c r="C17" s="17"/>
      <c r="D17" s="17"/>
      <c r="E17" s="18"/>
      <c r="F17" s="18"/>
      <c r="G17" s="18"/>
      <c r="H17" s="18"/>
      <c r="I17" s="18"/>
      <c r="J17" s="18"/>
      <c r="K17" s="18"/>
      <c r="L17" s="18"/>
      <c r="M17" s="22">
        <v>37222</v>
      </c>
      <c r="N17" s="9"/>
      <c r="O17" s="6"/>
    </row>
    <row r="18" spans="1:15" ht="15.75">
      <c r="A18" s="7"/>
      <c r="B18" s="9"/>
      <c r="C18" s="9"/>
      <c r="D18" s="9"/>
      <c r="E18" s="9"/>
      <c r="F18" s="9"/>
      <c r="G18" s="9"/>
      <c r="H18" s="9"/>
      <c r="I18" s="9"/>
      <c r="J18" s="9"/>
      <c r="K18" s="9"/>
      <c r="L18" s="9"/>
      <c r="M18" s="23"/>
      <c r="N18" s="9"/>
      <c r="O18" s="6"/>
    </row>
    <row r="19" spans="1:15" ht="15.75">
      <c r="A19" s="7"/>
      <c r="B19" s="24" t="s">
        <v>11</v>
      </c>
      <c r="C19" s="9"/>
      <c r="D19" s="9"/>
      <c r="E19" s="9"/>
      <c r="F19" s="9"/>
      <c r="G19" s="9"/>
      <c r="H19" s="9"/>
      <c r="I19" s="9"/>
      <c r="J19" s="9"/>
      <c r="K19" s="23"/>
      <c r="L19" s="9"/>
      <c r="M19" s="14"/>
      <c r="N19" s="9"/>
      <c r="O19" s="6"/>
    </row>
    <row r="20" spans="1:15" ht="15.75">
      <c r="A20" s="7"/>
      <c r="B20" s="9"/>
      <c r="C20" s="9"/>
      <c r="D20" s="9"/>
      <c r="E20" s="9"/>
      <c r="F20" s="9"/>
      <c r="G20" s="9"/>
      <c r="H20" s="9"/>
      <c r="I20" s="9"/>
      <c r="J20" s="9"/>
      <c r="K20" s="9"/>
      <c r="L20" s="9"/>
      <c r="M20" s="25"/>
      <c r="N20" s="9"/>
      <c r="O20" s="6"/>
    </row>
    <row r="21" spans="1:15" ht="31.5">
      <c r="A21" s="7"/>
      <c r="B21" s="9"/>
      <c r="C21" s="145" t="s">
        <v>165</v>
      </c>
      <c r="D21" s="168" t="s">
        <v>168</v>
      </c>
      <c r="E21" s="168" t="s">
        <v>179</v>
      </c>
      <c r="F21" s="168"/>
      <c r="G21" s="168" t="s">
        <v>185</v>
      </c>
      <c r="H21" s="168"/>
      <c r="I21" s="168" t="s">
        <v>198</v>
      </c>
      <c r="J21" s="26"/>
      <c r="K21" s="27"/>
      <c r="L21" s="14"/>
      <c r="M21" s="14"/>
      <c r="N21" s="9"/>
      <c r="O21" s="6"/>
    </row>
    <row r="22" spans="1:15" ht="15.75">
      <c r="A22" s="28"/>
      <c r="B22" s="29" t="s">
        <v>12</v>
      </c>
      <c r="C22" s="146" t="s">
        <v>166</v>
      </c>
      <c r="D22" s="30" t="s">
        <v>169</v>
      </c>
      <c r="E22" s="30"/>
      <c r="F22" s="30"/>
      <c r="G22" s="30" t="s">
        <v>186</v>
      </c>
      <c r="H22" s="30"/>
      <c r="I22" s="30" t="s">
        <v>199</v>
      </c>
      <c r="J22" s="30"/>
      <c r="K22" s="30"/>
      <c r="L22" s="31"/>
      <c r="M22" s="31"/>
      <c r="N22" s="29"/>
      <c r="O22" s="6"/>
    </row>
    <row r="23" spans="1:15" ht="15.75">
      <c r="A23" s="28"/>
      <c r="B23" s="29" t="s">
        <v>13</v>
      </c>
      <c r="C23" s="32"/>
      <c r="D23" s="33" t="s">
        <v>170</v>
      </c>
      <c r="E23" s="34"/>
      <c r="F23" s="33"/>
      <c r="G23" s="33" t="s">
        <v>187</v>
      </c>
      <c r="H23" s="33"/>
      <c r="I23" s="33" t="s">
        <v>200</v>
      </c>
      <c r="J23" s="35"/>
      <c r="K23" s="35"/>
      <c r="L23" s="36"/>
      <c r="M23" s="31"/>
      <c r="N23" s="29"/>
      <c r="O23" s="6"/>
    </row>
    <row r="24" spans="1:15" ht="15.75">
      <c r="A24" s="28"/>
      <c r="B24" s="32" t="s">
        <v>14</v>
      </c>
      <c r="C24" s="32"/>
      <c r="D24" s="35" t="s">
        <v>169</v>
      </c>
      <c r="E24" s="35"/>
      <c r="F24" s="35"/>
      <c r="G24" s="35" t="s">
        <v>186</v>
      </c>
      <c r="H24" s="35"/>
      <c r="I24" s="35" t="s">
        <v>199</v>
      </c>
      <c r="J24" s="35"/>
      <c r="K24" s="35"/>
      <c r="L24" s="36"/>
      <c r="M24" s="31"/>
      <c r="N24" s="29"/>
      <c r="O24" s="6"/>
    </row>
    <row r="25" spans="1:15" ht="15.75">
      <c r="A25" s="28"/>
      <c r="B25" s="32" t="s">
        <v>15</v>
      </c>
      <c r="C25" s="32"/>
      <c r="D25" s="35" t="s">
        <v>170</v>
      </c>
      <c r="E25" s="35"/>
      <c r="F25" s="35"/>
      <c r="G25" s="35" t="s">
        <v>187</v>
      </c>
      <c r="H25" s="35"/>
      <c r="I25" s="35" t="s">
        <v>200</v>
      </c>
      <c r="J25" s="35"/>
      <c r="K25" s="35"/>
      <c r="L25" s="36"/>
      <c r="M25" s="31"/>
      <c r="N25" s="29"/>
      <c r="O25" s="6"/>
    </row>
    <row r="26" spans="1:15" ht="15.75">
      <c r="A26" s="28"/>
      <c r="B26" s="29" t="s">
        <v>16</v>
      </c>
      <c r="C26" s="29"/>
      <c r="D26" s="37" t="s">
        <v>171</v>
      </c>
      <c r="E26" s="37"/>
      <c r="F26" s="30"/>
      <c r="G26" s="37" t="s">
        <v>188</v>
      </c>
      <c r="H26" s="30"/>
      <c r="I26" s="37" t="s">
        <v>201</v>
      </c>
      <c r="J26" s="30"/>
      <c r="K26" s="37"/>
      <c r="L26" s="31"/>
      <c r="M26" s="31"/>
      <c r="N26" s="29"/>
      <c r="O26" s="6"/>
    </row>
    <row r="27" spans="1:15" ht="15.75">
      <c r="A27" s="28"/>
      <c r="B27" s="29"/>
      <c r="C27" s="29"/>
      <c r="D27" s="29"/>
      <c r="E27" s="29"/>
      <c r="F27" s="30"/>
      <c r="G27" s="30"/>
      <c r="H27" s="30"/>
      <c r="I27" s="30"/>
      <c r="J27" s="30"/>
      <c r="K27" s="30"/>
      <c r="L27" s="31"/>
      <c r="M27" s="31"/>
      <c r="N27" s="29"/>
      <c r="O27" s="6"/>
    </row>
    <row r="28" spans="1:15" ht="15.75">
      <c r="A28" s="28"/>
      <c r="B28" s="29" t="s">
        <v>17</v>
      </c>
      <c r="C28" s="29"/>
      <c r="D28" s="38" t="s">
        <v>172</v>
      </c>
      <c r="E28" s="38">
        <v>168668</v>
      </c>
      <c r="F28" s="39"/>
      <c r="G28" s="38">
        <v>16580</v>
      </c>
      <c r="H28" s="38"/>
      <c r="I28" s="38">
        <v>9750</v>
      </c>
      <c r="J28" s="38"/>
      <c r="K28" s="38"/>
      <c r="L28" s="39" t="s">
        <v>172</v>
      </c>
      <c r="M28" s="38">
        <f>K28+I28+G28+E28</f>
        <v>194998</v>
      </c>
      <c r="N28" s="40"/>
      <c r="O28" s="6"/>
    </row>
    <row r="29" spans="1:15" ht="15.75">
      <c r="A29" s="28"/>
      <c r="B29" s="29" t="s">
        <v>18</v>
      </c>
      <c r="C29" s="41">
        <f>M28/M29</f>
        <v>1</v>
      </c>
      <c r="D29" s="38" t="s">
        <v>173</v>
      </c>
      <c r="E29" s="38">
        <v>168668</v>
      </c>
      <c r="F29" s="39"/>
      <c r="G29" s="38">
        <v>16580</v>
      </c>
      <c r="H29" s="38"/>
      <c r="I29" s="38">
        <v>9750</v>
      </c>
      <c r="J29" s="42"/>
      <c r="K29" s="38"/>
      <c r="L29" s="39" t="s">
        <v>172</v>
      </c>
      <c r="M29" s="38">
        <f>K29+I29+G29+E29</f>
        <v>194998</v>
      </c>
      <c r="N29" s="40"/>
      <c r="O29" s="6"/>
    </row>
    <row r="30" spans="1:15" ht="15.75">
      <c r="A30" s="43"/>
      <c r="B30" s="32" t="s">
        <v>19</v>
      </c>
      <c r="C30" s="44">
        <f>M29/M30</f>
        <v>1</v>
      </c>
      <c r="D30" s="45" t="s">
        <v>172</v>
      </c>
      <c r="E30" s="45">
        <v>168668</v>
      </c>
      <c r="F30" s="46"/>
      <c r="G30" s="45">
        <v>16580</v>
      </c>
      <c r="H30" s="45"/>
      <c r="I30" s="45">
        <v>9750</v>
      </c>
      <c r="J30" s="45"/>
      <c r="K30" s="45"/>
      <c r="L30" s="46" t="s">
        <v>172</v>
      </c>
      <c r="M30" s="45">
        <f>K30+I30+G30+E30</f>
        <v>194998</v>
      </c>
      <c r="N30" s="29"/>
      <c r="O30" s="6"/>
    </row>
    <row r="31" spans="1:15" ht="15.75">
      <c r="A31" s="28"/>
      <c r="B31" s="29" t="s">
        <v>20</v>
      </c>
      <c r="C31" s="47"/>
      <c r="D31" s="37" t="s">
        <v>174</v>
      </c>
      <c r="E31" s="37"/>
      <c r="F31" s="29"/>
      <c r="G31" s="37" t="s">
        <v>189</v>
      </c>
      <c r="H31" s="37"/>
      <c r="I31" s="37" t="s">
        <v>202</v>
      </c>
      <c r="J31" s="37"/>
      <c r="K31" s="37"/>
      <c r="L31" s="31"/>
      <c r="M31" s="31"/>
      <c r="N31" s="29"/>
      <c r="O31" s="6"/>
    </row>
    <row r="32" spans="1:15" ht="15.75">
      <c r="A32" s="28"/>
      <c r="B32" s="29" t="s">
        <v>21</v>
      </c>
      <c r="C32" s="47"/>
      <c r="D32" s="48" t="s">
        <v>175</v>
      </c>
      <c r="E32" s="49">
        <v>0.0532375</v>
      </c>
      <c r="F32" s="50"/>
      <c r="G32" s="48">
        <v>0.0574875</v>
      </c>
      <c r="H32" s="48"/>
      <c r="I32" s="48">
        <v>0.0674875</v>
      </c>
      <c r="J32" s="51"/>
      <c r="K32" s="48"/>
      <c r="L32" s="31"/>
      <c r="M32" s="51">
        <f>SUMPRODUCT(E32:K32,E30:K30)/M30</f>
        <v>0.05431136998841014</v>
      </c>
      <c r="N32" s="29"/>
      <c r="O32" s="6"/>
    </row>
    <row r="33" spans="1:15" ht="15.75">
      <c r="A33" s="28"/>
      <c r="B33" s="29" t="s">
        <v>22</v>
      </c>
      <c r="C33" s="47"/>
      <c r="D33" s="48">
        <v>0.04702</v>
      </c>
      <c r="E33" s="48"/>
      <c r="F33" s="50"/>
      <c r="G33" s="48" t="s">
        <v>175</v>
      </c>
      <c r="H33" s="48"/>
      <c r="I33" s="48" t="s">
        <v>175</v>
      </c>
      <c r="J33" s="51"/>
      <c r="K33" s="48"/>
      <c r="L33" s="31"/>
      <c r="M33" s="51"/>
      <c r="N33" s="29"/>
      <c r="O33" s="6"/>
    </row>
    <row r="34" spans="1:15" ht="15.75">
      <c r="A34" s="28"/>
      <c r="B34" s="29" t="s">
        <v>23</v>
      </c>
      <c r="C34" s="47"/>
      <c r="D34" s="48" t="s">
        <v>175</v>
      </c>
      <c r="E34" s="48"/>
      <c r="F34" s="48"/>
      <c r="G34" s="48">
        <v>0.0603625</v>
      </c>
      <c r="H34" s="48"/>
      <c r="I34" s="48">
        <v>0.0703625</v>
      </c>
      <c r="J34" s="51"/>
      <c r="K34" s="48"/>
      <c r="L34" s="31"/>
      <c r="M34" s="31"/>
      <c r="N34" s="29"/>
      <c r="O34" s="6"/>
    </row>
    <row r="35" spans="1:15" ht="15.75">
      <c r="A35" s="28"/>
      <c r="B35" s="29" t="s">
        <v>24</v>
      </c>
      <c r="C35" s="47"/>
      <c r="D35" s="48">
        <v>0.04903</v>
      </c>
      <c r="E35" s="48"/>
      <c r="F35" s="50"/>
      <c r="G35" s="48" t="s">
        <v>175</v>
      </c>
      <c r="H35" s="48"/>
      <c r="I35" s="48" t="s">
        <v>175</v>
      </c>
      <c r="J35" s="51"/>
      <c r="K35" s="48"/>
      <c r="L35" s="31"/>
      <c r="M35" s="31"/>
      <c r="N35" s="29"/>
      <c r="O35" s="6"/>
    </row>
    <row r="36" spans="1:15" ht="15.75">
      <c r="A36" s="28"/>
      <c r="B36" s="29" t="s">
        <v>25</v>
      </c>
      <c r="C36" s="47"/>
      <c r="D36" s="37" t="s">
        <v>176</v>
      </c>
      <c r="E36" s="37"/>
      <c r="F36" s="29"/>
      <c r="G36" s="37" t="s">
        <v>176</v>
      </c>
      <c r="H36" s="37"/>
      <c r="I36" s="37" t="s">
        <v>176</v>
      </c>
      <c r="J36" s="37"/>
      <c r="K36" s="37"/>
      <c r="L36" s="31"/>
      <c r="M36" s="31"/>
      <c r="N36" s="29"/>
      <c r="O36" s="6"/>
    </row>
    <row r="37" spans="1:15" ht="15.75">
      <c r="A37" s="28"/>
      <c r="B37" s="29" t="s">
        <v>26</v>
      </c>
      <c r="C37" s="29"/>
      <c r="D37" s="52">
        <v>39036</v>
      </c>
      <c r="E37" s="52"/>
      <c r="F37" s="29"/>
      <c r="G37" s="52">
        <v>39036</v>
      </c>
      <c r="H37" s="52"/>
      <c r="I37" s="52">
        <v>39036</v>
      </c>
      <c r="J37" s="37"/>
      <c r="K37" s="37"/>
      <c r="L37" s="31"/>
      <c r="M37" s="31"/>
      <c r="N37" s="29"/>
      <c r="O37" s="6"/>
    </row>
    <row r="38" spans="1:15" ht="15.75">
      <c r="A38" s="28"/>
      <c r="B38" s="29" t="s">
        <v>27</v>
      </c>
      <c r="C38" s="29"/>
      <c r="D38" s="37" t="s">
        <v>177</v>
      </c>
      <c r="E38" s="37"/>
      <c r="F38" s="29"/>
      <c r="G38" s="37" t="s">
        <v>190</v>
      </c>
      <c r="H38" s="37"/>
      <c r="I38" s="37" t="s">
        <v>203</v>
      </c>
      <c r="J38" s="37"/>
      <c r="K38" s="37"/>
      <c r="L38" s="31"/>
      <c r="M38" s="31"/>
      <c r="N38" s="29"/>
      <c r="O38" s="6"/>
    </row>
    <row r="39" spans="1:15" ht="15.75">
      <c r="A39" s="28"/>
      <c r="B39" s="29"/>
      <c r="C39" s="29"/>
      <c r="D39" s="29"/>
      <c r="E39" s="53"/>
      <c r="F39" s="53"/>
      <c r="G39" s="29"/>
      <c r="H39" s="53"/>
      <c r="I39" s="53"/>
      <c r="J39" s="53"/>
      <c r="K39" s="53"/>
      <c r="L39" s="53"/>
      <c r="M39" s="53"/>
      <c r="N39" s="29"/>
      <c r="O39" s="6"/>
    </row>
    <row r="40" spans="1:15" ht="15.75">
      <c r="A40" s="28"/>
      <c r="B40" s="29" t="s">
        <v>28</v>
      </c>
      <c r="C40" s="29"/>
      <c r="D40" s="29"/>
      <c r="E40" s="29"/>
      <c r="F40" s="29"/>
      <c r="G40" s="29"/>
      <c r="H40" s="29"/>
      <c r="I40" s="29"/>
      <c r="J40" s="29"/>
      <c r="K40" s="29"/>
      <c r="L40" s="29"/>
      <c r="M40" s="51">
        <f>(I28+G28)/(E28)</f>
        <v>0.15610548533213175</v>
      </c>
      <c r="N40" s="29"/>
      <c r="O40" s="6"/>
    </row>
    <row r="41" spans="1:15" ht="15.75">
      <c r="A41" s="28"/>
      <c r="B41" s="29" t="s">
        <v>29</v>
      </c>
      <c r="C41" s="29"/>
      <c r="D41" s="29"/>
      <c r="E41" s="29"/>
      <c r="F41" s="29"/>
      <c r="G41" s="29"/>
      <c r="H41" s="29"/>
      <c r="I41" s="29"/>
      <c r="J41" s="29"/>
      <c r="K41" s="29"/>
      <c r="L41" s="29"/>
      <c r="M41" s="51">
        <f>(I30+G30)/(E30)</f>
        <v>0.15610548533213175</v>
      </c>
      <c r="N41" s="29"/>
      <c r="O41" s="6"/>
    </row>
    <row r="42" spans="1:15" ht="15.75">
      <c r="A42" s="28"/>
      <c r="B42" s="29" t="s">
        <v>30</v>
      </c>
      <c r="C42" s="29"/>
      <c r="D42" s="29"/>
      <c r="E42" s="29"/>
      <c r="F42" s="29"/>
      <c r="G42" s="29"/>
      <c r="H42" s="29"/>
      <c r="I42" s="29"/>
      <c r="J42" s="29"/>
      <c r="K42" s="37" t="s">
        <v>168</v>
      </c>
      <c r="L42" s="37" t="s">
        <v>216</v>
      </c>
      <c r="M42" s="38">
        <v>60336</v>
      </c>
      <c r="N42" s="29"/>
      <c r="O42" s="6"/>
    </row>
    <row r="43" spans="1:15" ht="15.75">
      <c r="A43" s="28"/>
      <c r="B43" s="29"/>
      <c r="C43" s="29"/>
      <c r="D43" s="29"/>
      <c r="E43" s="29"/>
      <c r="F43" s="29"/>
      <c r="G43" s="29"/>
      <c r="H43" s="29"/>
      <c r="I43" s="29"/>
      <c r="J43" s="29"/>
      <c r="K43" s="29"/>
      <c r="L43" s="29"/>
      <c r="M43" s="54"/>
      <c r="N43" s="29"/>
      <c r="O43" s="6"/>
    </row>
    <row r="44" spans="1:15" ht="15.75">
      <c r="A44" s="28"/>
      <c r="B44" s="29" t="s">
        <v>31</v>
      </c>
      <c r="C44" s="29"/>
      <c r="D44" s="29"/>
      <c r="E44" s="29"/>
      <c r="F44" s="29"/>
      <c r="G44" s="29"/>
      <c r="H44" s="29"/>
      <c r="I44" s="29"/>
      <c r="J44" s="29"/>
      <c r="K44" s="37"/>
      <c r="L44" s="37"/>
      <c r="M44" s="37" t="s">
        <v>219</v>
      </c>
      <c r="N44" s="29"/>
      <c r="O44" s="6"/>
    </row>
    <row r="45" spans="1:15" ht="15.75">
      <c r="A45" s="43"/>
      <c r="B45" s="32" t="s">
        <v>32</v>
      </c>
      <c r="C45" s="32"/>
      <c r="D45" s="32"/>
      <c r="E45" s="32"/>
      <c r="F45" s="32"/>
      <c r="G45" s="32"/>
      <c r="H45" s="32"/>
      <c r="I45" s="32"/>
      <c r="J45" s="32"/>
      <c r="K45" s="55"/>
      <c r="L45" s="55"/>
      <c r="M45" s="56">
        <v>37210</v>
      </c>
      <c r="N45" s="32"/>
      <c r="O45" s="6"/>
    </row>
    <row r="46" spans="1:15" ht="15.75">
      <c r="A46" s="28"/>
      <c r="B46" s="29" t="s">
        <v>33</v>
      </c>
      <c r="C46" s="29"/>
      <c r="D46" s="29"/>
      <c r="E46" s="29"/>
      <c r="F46" s="29"/>
      <c r="G46" s="29"/>
      <c r="H46" s="29"/>
      <c r="I46" s="31"/>
      <c r="J46" s="29">
        <f>M46-K46+1</f>
        <v>92</v>
      </c>
      <c r="K46" s="58">
        <v>37026</v>
      </c>
      <c r="L46" s="59"/>
      <c r="M46" s="58">
        <v>37117</v>
      </c>
      <c r="N46" s="29"/>
      <c r="O46" s="6"/>
    </row>
    <row r="47" spans="1:15" ht="15.75">
      <c r="A47" s="28"/>
      <c r="B47" s="29" t="s">
        <v>34</v>
      </c>
      <c r="C47" s="29"/>
      <c r="D47" s="29"/>
      <c r="E47" s="29"/>
      <c r="F47" s="29"/>
      <c r="G47" s="29"/>
      <c r="H47" s="29"/>
      <c r="I47" s="31"/>
      <c r="J47" s="29">
        <f>M47-K47+1</f>
        <v>92</v>
      </c>
      <c r="K47" s="58">
        <v>37118</v>
      </c>
      <c r="L47" s="59"/>
      <c r="M47" s="58">
        <v>37209</v>
      </c>
      <c r="N47" s="29"/>
      <c r="O47" s="6"/>
    </row>
    <row r="48" spans="1:15" ht="15.75">
      <c r="A48" s="28"/>
      <c r="B48" s="29" t="s">
        <v>35</v>
      </c>
      <c r="C48" s="29"/>
      <c r="D48" s="29"/>
      <c r="E48" s="29"/>
      <c r="F48" s="29"/>
      <c r="G48" s="29"/>
      <c r="H48" s="29"/>
      <c r="I48" s="29"/>
      <c r="J48" s="29"/>
      <c r="K48" s="58"/>
      <c r="L48" s="59"/>
      <c r="M48" s="58" t="s">
        <v>220</v>
      </c>
      <c r="N48" s="29"/>
      <c r="O48" s="6"/>
    </row>
    <row r="49" spans="1:15" ht="15.75">
      <c r="A49" s="28"/>
      <c r="B49" s="29" t="s">
        <v>36</v>
      </c>
      <c r="C49" s="29"/>
      <c r="D49" s="29"/>
      <c r="E49" s="29"/>
      <c r="F49" s="29"/>
      <c r="G49" s="29"/>
      <c r="H49" s="29"/>
      <c r="I49" s="29"/>
      <c r="J49" s="29"/>
      <c r="K49" s="58"/>
      <c r="L49" s="59"/>
      <c r="M49" s="58" t="s">
        <v>221</v>
      </c>
      <c r="N49" s="29"/>
      <c r="O49" s="6"/>
    </row>
    <row r="50" spans="1:15" ht="15.75">
      <c r="A50" s="28"/>
      <c r="B50" s="29" t="s">
        <v>37</v>
      </c>
      <c r="C50" s="29"/>
      <c r="D50" s="29"/>
      <c r="E50" s="29"/>
      <c r="F50" s="29"/>
      <c r="G50" s="29"/>
      <c r="H50" s="29"/>
      <c r="I50" s="29"/>
      <c r="J50" s="29"/>
      <c r="K50" s="58"/>
      <c r="L50" s="59"/>
      <c r="M50" s="58">
        <v>37199</v>
      </c>
      <c r="N50" s="29"/>
      <c r="O50" s="6"/>
    </row>
    <row r="51" spans="1:15" ht="15.75">
      <c r="A51" s="28"/>
      <c r="B51" s="29"/>
      <c r="C51" s="29"/>
      <c r="D51" s="29"/>
      <c r="E51" s="29"/>
      <c r="F51" s="29"/>
      <c r="G51" s="29"/>
      <c r="H51" s="29"/>
      <c r="I51" s="29"/>
      <c r="J51" s="29"/>
      <c r="K51" s="29"/>
      <c r="L51" s="29"/>
      <c r="M51" s="60"/>
      <c r="N51" s="29"/>
      <c r="O51" s="6"/>
    </row>
    <row r="52" spans="1:15" ht="15.75">
      <c r="A52" s="7"/>
      <c r="B52" s="9"/>
      <c r="C52" s="9"/>
      <c r="D52" s="9"/>
      <c r="E52" s="9"/>
      <c r="F52" s="9"/>
      <c r="G52" s="9"/>
      <c r="H52" s="9"/>
      <c r="I52" s="9"/>
      <c r="J52" s="9"/>
      <c r="K52" s="9"/>
      <c r="L52" s="9"/>
      <c r="M52" s="61"/>
      <c r="N52" s="9"/>
      <c r="O52" s="6"/>
    </row>
    <row r="53" spans="1:15" ht="16.5" thickBot="1">
      <c r="A53" s="134"/>
      <c r="B53" s="135" t="s">
        <v>230</v>
      </c>
      <c r="C53" s="136"/>
      <c r="D53" s="136"/>
      <c r="E53" s="136"/>
      <c r="F53" s="136"/>
      <c r="G53" s="136"/>
      <c r="H53" s="136"/>
      <c r="I53" s="136"/>
      <c r="J53" s="136"/>
      <c r="K53" s="136"/>
      <c r="L53" s="136"/>
      <c r="M53" s="137"/>
      <c r="N53" s="138"/>
      <c r="O53" s="6"/>
    </row>
    <row r="54" spans="1:15" ht="15.75">
      <c r="A54" s="2"/>
      <c r="B54" s="5"/>
      <c r="C54" s="5"/>
      <c r="D54" s="5"/>
      <c r="E54" s="5"/>
      <c r="F54" s="5"/>
      <c r="G54" s="5"/>
      <c r="H54" s="5"/>
      <c r="I54" s="5"/>
      <c r="J54" s="5"/>
      <c r="K54" s="5"/>
      <c r="L54" s="5"/>
      <c r="M54" s="62"/>
      <c r="N54" s="5"/>
      <c r="O54" s="6"/>
    </row>
    <row r="55" spans="1:15" ht="15.75">
      <c r="A55" s="7"/>
      <c r="B55" s="63" t="s">
        <v>39</v>
      </c>
      <c r="C55" s="15"/>
      <c r="D55" s="15"/>
      <c r="E55" s="9"/>
      <c r="F55" s="9"/>
      <c r="G55" s="9"/>
      <c r="H55" s="9"/>
      <c r="I55" s="9"/>
      <c r="J55" s="9"/>
      <c r="K55" s="9"/>
      <c r="L55" s="9"/>
      <c r="M55" s="64"/>
      <c r="N55" s="9"/>
      <c r="O55" s="6"/>
    </row>
    <row r="56" spans="1:15" ht="15.75">
      <c r="A56" s="7"/>
      <c r="B56" s="15"/>
      <c r="C56" s="15"/>
      <c r="D56" s="15"/>
      <c r="E56" s="9"/>
      <c r="F56" s="9"/>
      <c r="G56" s="9"/>
      <c r="H56" s="9"/>
      <c r="I56" s="9"/>
      <c r="J56" s="9"/>
      <c r="K56" s="9"/>
      <c r="L56" s="9"/>
      <c r="M56" s="64"/>
      <c r="N56" s="9"/>
      <c r="O56" s="6"/>
    </row>
    <row r="57" spans="1:15" ht="47.25">
      <c r="A57" s="7"/>
      <c r="B57" s="170" t="s">
        <v>40</v>
      </c>
      <c r="C57" s="171" t="s">
        <v>167</v>
      </c>
      <c r="D57" s="171"/>
      <c r="E57" s="171" t="s">
        <v>180</v>
      </c>
      <c r="F57" s="171"/>
      <c r="G57" s="171" t="s">
        <v>191</v>
      </c>
      <c r="H57" s="171"/>
      <c r="I57" s="171" t="s">
        <v>204</v>
      </c>
      <c r="J57" s="171"/>
      <c r="K57" s="171" t="s">
        <v>209</v>
      </c>
      <c r="L57" s="171"/>
      <c r="M57" s="172" t="s">
        <v>222</v>
      </c>
      <c r="N57" s="144"/>
      <c r="O57" s="6"/>
    </row>
    <row r="58" spans="1:15" ht="15.75">
      <c r="A58" s="28"/>
      <c r="B58" s="29" t="s">
        <v>41</v>
      </c>
      <c r="C58" s="65">
        <v>73021</v>
      </c>
      <c r="D58" s="65"/>
      <c r="E58" s="65">
        <v>84456</v>
      </c>
      <c r="F58" s="65"/>
      <c r="G58" s="65">
        <f>10721+76</f>
        <v>10797</v>
      </c>
      <c r="H58" s="65"/>
      <c r="I58" s="65">
        <v>5623</v>
      </c>
      <c r="J58" s="65"/>
      <c r="K58" s="65">
        <v>0</v>
      </c>
      <c r="L58" s="65"/>
      <c r="M58" s="66">
        <f>E58-G58+I58-K58</f>
        <v>79282</v>
      </c>
      <c r="N58" s="29"/>
      <c r="O58" s="6"/>
    </row>
    <row r="59" spans="1:15" ht="15.75">
      <c r="A59" s="28"/>
      <c r="B59" s="29" t="s">
        <v>42</v>
      </c>
      <c r="C59" s="65">
        <v>506</v>
      </c>
      <c r="D59" s="65"/>
      <c r="E59" s="65">
        <v>0</v>
      </c>
      <c r="F59" s="65"/>
      <c r="G59" s="65">
        <v>32</v>
      </c>
      <c r="H59" s="65"/>
      <c r="I59" s="65">
        <v>32</v>
      </c>
      <c r="J59" s="65"/>
      <c r="K59" s="65">
        <v>0</v>
      </c>
      <c r="L59" s="65"/>
      <c r="M59" s="66">
        <f>E59-G59+I59-K59</f>
        <v>0</v>
      </c>
      <c r="N59" s="29"/>
      <c r="O59" s="6"/>
    </row>
    <row r="60" spans="1:15" ht="15.75">
      <c r="A60" s="28"/>
      <c r="B60" s="29"/>
      <c r="C60" s="65"/>
      <c r="D60" s="65"/>
      <c r="E60" s="65"/>
      <c r="F60" s="65"/>
      <c r="G60" s="65"/>
      <c r="H60" s="65"/>
      <c r="I60" s="65"/>
      <c r="J60" s="65"/>
      <c r="K60" s="65"/>
      <c r="L60" s="65"/>
      <c r="M60" s="66"/>
      <c r="N60" s="29"/>
      <c r="O60" s="6"/>
    </row>
    <row r="61" spans="1:15" ht="15.75">
      <c r="A61" s="28"/>
      <c r="B61" s="29" t="s">
        <v>43</v>
      </c>
      <c r="C61" s="65">
        <f>SUM(C58:C60)</f>
        <v>73527</v>
      </c>
      <c r="D61" s="65"/>
      <c r="E61" s="65">
        <f>SUM(E58:E60)</f>
        <v>84456</v>
      </c>
      <c r="F61" s="65"/>
      <c r="G61" s="65">
        <f>SUM(G58:G60)</f>
        <v>10829</v>
      </c>
      <c r="H61" s="65"/>
      <c r="I61" s="65">
        <f>SUM(I58:I60)</f>
        <v>5655</v>
      </c>
      <c r="J61" s="65"/>
      <c r="K61" s="65">
        <f>SUM(K58:K60)</f>
        <v>0</v>
      </c>
      <c r="L61" s="65"/>
      <c r="M61" s="67">
        <f>SUM(M58:M60)</f>
        <v>79282</v>
      </c>
      <c r="N61" s="29"/>
      <c r="O61" s="6"/>
    </row>
    <row r="62" spans="1:15" ht="15.75">
      <c r="A62" s="28"/>
      <c r="B62" s="29"/>
      <c r="C62" s="65"/>
      <c r="D62" s="65"/>
      <c r="E62" s="65"/>
      <c r="F62" s="65"/>
      <c r="G62" s="65"/>
      <c r="H62" s="65"/>
      <c r="I62" s="65"/>
      <c r="J62" s="65"/>
      <c r="K62" s="65"/>
      <c r="L62" s="65"/>
      <c r="M62" s="67"/>
      <c r="N62" s="29"/>
      <c r="O62" s="6"/>
    </row>
    <row r="63" spans="1:15" ht="15.75">
      <c r="A63" s="7"/>
      <c r="B63" s="144" t="s">
        <v>44</v>
      </c>
      <c r="C63" s="68"/>
      <c r="D63" s="68"/>
      <c r="E63" s="68"/>
      <c r="F63" s="68"/>
      <c r="G63" s="69"/>
      <c r="H63" s="68"/>
      <c r="I63" s="68"/>
      <c r="J63" s="68"/>
      <c r="K63" s="68"/>
      <c r="L63" s="68"/>
      <c r="M63" s="70"/>
      <c r="N63" s="9"/>
      <c r="O63" s="6"/>
    </row>
    <row r="64" spans="1:15" ht="15.75">
      <c r="A64" s="7"/>
      <c r="B64" s="9"/>
      <c r="C64" s="68"/>
      <c r="D64" s="68"/>
      <c r="E64" s="68"/>
      <c r="F64" s="68"/>
      <c r="G64" s="68"/>
      <c r="H64" s="68"/>
      <c r="I64" s="68"/>
      <c r="J64" s="68"/>
      <c r="K64" s="68"/>
      <c r="L64" s="68"/>
      <c r="M64" s="70"/>
      <c r="N64" s="9"/>
      <c r="O64" s="6"/>
    </row>
    <row r="65" spans="1:15" ht="15.75">
      <c r="A65" s="28"/>
      <c r="B65" s="29" t="s">
        <v>41</v>
      </c>
      <c r="C65" s="65">
        <v>79997</v>
      </c>
      <c r="D65" s="65"/>
      <c r="E65" s="66">
        <v>91649</v>
      </c>
      <c r="F65" s="65"/>
      <c r="G65" s="65">
        <f>12262+58+179</f>
        <v>12499</v>
      </c>
      <c r="H65" s="65"/>
      <c r="I65" s="65">
        <v>16103</v>
      </c>
      <c r="J65" s="65"/>
      <c r="K65" s="65"/>
      <c r="L65" s="65"/>
      <c r="M65" s="66">
        <f>E65-G65+I65-K65</f>
        <v>95253</v>
      </c>
      <c r="N65" s="29"/>
      <c r="O65" s="6"/>
    </row>
    <row r="66" spans="1:15" ht="15.75">
      <c r="A66" s="28"/>
      <c r="B66" s="29" t="s">
        <v>42</v>
      </c>
      <c r="C66" s="65">
        <v>611</v>
      </c>
      <c r="D66" s="65"/>
      <c r="E66" s="66">
        <v>0</v>
      </c>
      <c r="F66" s="65"/>
      <c r="G66" s="65">
        <v>75</v>
      </c>
      <c r="H66" s="65"/>
      <c r="I66" s="65">
        <v>75</v>
      </c>
      <c r="J66" s="65"/>
      <c r="K66" s="65"/>
      <c r="L66" s="65"/>
      <c r="M66" s="66">
        <f>E66-G66+I66-K66</f>
        <v>0</v>
      </c>
      <c r="N66" s="29"/>
      <c r="O66" s="6"/>
    </row>
    <row r="67" spans="1:15" ht="15.75">
      <c r="A67" s="28"/>
      <c r="B67" s="65"/>
      <c r="C67" s="65"/>
      <c r="D67" s="65"/>
      <c r="E67" s="66"/>
      <c r="F67" s="65"/>
      <c r="G67" s="65"/>
      <c r="H67" s="65"/>
      <c r="I67" s="65"/>
      <c r="J67" s="65"/>
      <c r="K67" s="65"/>
      <c r="L67" s="65"/>
      <c r="M67" s="66"/>
      <c r="N67" s="29"/>
      <c r="O67" s="6"/>
    </row>
    <row r="68" spans="1:15" ht="15.75">
      <c r="A68" s="28"/>
      <c r="B68" s="29" t="s">
        <v>43</v>
      </c>
      <c r="C68" s="65">
        <f>SUM(C65:C67)</f>
        <v>80608</v>
      </c>
      <c r="D68" s="65"/>
      <c r="E68" s="65">
        <v>91649</v>
      </c>
      <c r="F68" s="65"/>
      <c r="G68" s="65">
        <f>SUM(G65:G67)</f>
        <v>12574</v>
      </c>
      <c r="H68" s="65"/>
      <c r="I68" s="65">
        <f>SUM(I65:I67)</f>
        <v>16178</v>
      </c>
      <c r="J68" s="65"/>
      <c r="K68" s="65">
        <f>SUM(K65:K67)</f>
        <v>0</v>
      </c>
      <c r="L68" s="65"/>
      <c r="M68" s="65">
        <f>SUM(M65:M67)</f>
        <v>95253</v>
      </c>
      <c r="N68" s="29"/>
      <c r="O68" s="6"/>
    </row>
    <row r="69" spans="1:15" ht="15.75">
      <c r="A69" s="28"/>
      <c r="B69" s="29"/>
      <c r="C69" s="65"/>
      <c r="D69" s="65"/>
      <c r="E69" s="67"/>
      <c r="F69" s="65"/>
      <c r="G69" s="65"/>
      <c r="H69" s="65"/>
      <c r="I69" s="65"/>
      <c r="J69" s="65"/>
      <c r="K69" s="65"/>
      <c r="L69" s="65"/>
      <c r="M69" s="67"/>
      <c r="N69" s="29"/>
      <c r="O69" s="6"/>
    </row>
    <row r="70" spans="1:15" ht="15.75">
      <c r="A70" s="28"/>
      <c r="B70" s="29" t="s">
        <v>45</v>
      </c>
      <c r="C70" s="65">
        <v>0</v>
      </c>
      <c r="D70" s="65"/>
      <c r="E70" s="65">
        <v>0</v>
      </c>
      <c r="F70" s="65"/>
      <c r="G70" s="65"/>
      <c r="H70" s="65"/>
      <c r="I70" s="65"/>
      <c r="J70" s="65"/>
      <c r="K70" s="65"/>
      <c r="L70" s="65"/>
      <c r="M70" s="65">
        <f>E70+G70</f>
        <v>0</v>
      </c>
      <c r="N70" s="29"/>
      <c r="O70" s="6"/>
    </row>
    <row r="71" spans="1:15" ht="15.75">
      <c r="A71" s="28"/>
      <c r="B71" s="29" t="s">
        <v>46</v>
      </c>
      <c r="C71" s="65">
        <v>0</v>
      </c>
      <c r="D71" s="65"/>
      <c r="E71" s="67">
        <v>2926</v>
      </c>
      <c r="F71" s="65"/>
      <c r="G71" s="65"/>
      <c r="H71" s="65"/>
      <c r="I71" s="65">
        <v>0</v>
      </c>
      <c r="J71" s="65"/>
      <c r="K71" s="65"/>
      <c r="L71" s="65"/>
      <c r="M71" s="67">
        <f>E71+I71</f>
        <v>2926</v>
      </c>
      <c r="N71" s="29"/>
      <c r="O71" s="6"/>
    </row>
    <row r="72" spans="1:15" ht="15.75">
      <c r="A72" s="28"/>
      <c r="B72" s="29" t="s">
        <v>47</v>
      </c>
      <c r="C72" s="65">
        <v>40958</v>
      </c>
      <c r="D72" s="65"/>
      <c r="E72" s="67">
        <v>18367</v>
      </c>
      <c r="F72" s="65"/>
      <c r="G72" s="65">
        <f>G68+G61</f>
        <v>23403</v>
      </c>
      <c r="H72" s="65"/>
      <c r="I72" s="65">
        <f>-I68-I61</f>
        <v>-21833</v>
      </c>
      <c r="J72" s="65"/>
      <c r="K72" s="65"/>
      <c r="L72" s="65"/>
      <c r="M72" s="67">
        <f>E72+G88+I72</f>
        <v>19623</v>
      </c>
      <c r="N72" s="29"/>
      <c r="O72" s="6"/>
    </row>
    <row r="73" spans="1:15" ht="15.75">
      <c r="A73" s="28"/>
      <c r="B73" s="29" t="s">
        <v>48</v>
      </c>
      <c r="C73" s="65">
        <v>0</v>
      </c>
      <c r="D73" s="65"/>
      <c r="E73" s="67">
        <v>621</v>
      </c>
      <c r="F73" s="65"/>
      <c r="G73" s="65"/>
      <c r="H73" s="65"/>
      <c r="I73" s="65">
        <v>-314</v>
      </c>
      <c r="J73" s="65"/>
      <c r="K73" s="65"/>
      <c r="L73" s="65"/>
      <c r="M73" s="67">
        <f>-I73+E73</f>
        <v>935</v>
      </c>
      <c r="N73" s="29"/>
      <c r="O73" s="6"/>
    </row>
    <row r="74" spans="1:15" ht="15.75">
      <c r="A74" s="28"/>
      <c r="B74" s="29" t="s">
        <v>49</v>
      </c>
      <c r="C74" s="65">
        <v>-95</v>
      </c>
      <c r="D74" s="65"/>
      <c r="E74" s="67">
        <v>-95</v>
      </c>
      <c r="F74" s="65"/>
      <c r="G74" s="65">
        <v>0</v>
      </c>
      <c r="H74" s="65"/>
      <c r="I74" s="65"/>
      <c r="J74" s="65"/>
      <c r="K74" s="65"/>
      <c r="L74" s="65"/>
      <c r="M74" s="67">
        <f>E74+G74</f>
        <v>-95</v>
      </c>
      <c r="N74" s="29"/>
      <c r="O74" s="6"/>
    </row>
    <row r="75" spans="1:15" ht="15.75">
      <c r="A75" s="28"/>
      <c r="B75" s="29" t="s">
        <v>50</v>
      </c>
      <c r="C75" s="65">
        <v>0</v>
      </c>
      <c r="D75" s="65"/>
      <c r="E75" s="67">
        <v>0</v>
      </c>
      <c r="F75" s="65"/>
      <c r="G75" s="65"/>
      <c r="H75" s="65"/>
      <c r="I75" s="71"/>
      <c r="J75" s="65"/>
      <c r="K75" s="65"/>
      <c r="L75" s="65"/>
      <c r="M75" s="67">
        <v>0</v>
      </c>
      <c r="N75" s="29"/>
      <c r="O75" s="6"/>
    </row>
    <row r="76" spans="1:15" ht="15.75">
      <c r="A76" s="28"/>
      <c r="B76" s="29" t="s">
        <v>19</v>
      </c>
      <c r="C76" s="67">
        <f>SUM(C68:C74)+C61</f>
        <v>194998</v>
      </c>
      <c r="D76" s="67"/>
      <c r="E76" s="67">
        <f>SUM(E68:E75)+E61</f>
        <v>197924</v>
      </c>
      <c r="F76" s="65"/>
      <c r="G76" s="65">
        <f>G72-G74</f>
        <v>23403</v>
      </c>
      <c r="H76" s="65"/>
      <c r="I76" s="65"/>
      <c r="J76" s="65"/>
      <c r="K76" s="65"/>
      <c r="L76" s="65"/>
      <c r="M76" s="67">
        <f>SUM(M68:M75)+M61</f>
        <v>197924</v>
      </c>
      <c r="N76" s="29"/>
      <c r="O76" s="6"/>
    </row>
    <row r="77" spans="1:15" ht="15.75">
      <c r="A77" s="28"/>
      <c r="B77" s="65"/>
      <c r="C77" s="65"/>
      <c r="D77" s="65"/>
      <c r="E77" s="65"/>
      <c r="F77" s="65"/>
      <c r="G77" s="65"/>
      <c r="H77" s="65"/>
      <c r="I77" s="65"/>
      <c r="J77" s="65"/>
      <c r="K77" s="65"/>
      <c r="L77" s="65"/>
      <c r="M77" s="65"/>
      <c r="N77" s="29"/>
      <c r="O77" s="6"/>
    </row>
    <row r="78" spans="1:15" ht="15.75">
      <c r="A78" s="7"/>
      <c r="B78" s="68"/>
      <c r="C78" s="9"/>
      <c r="D78" s="9"/>
      <c r="E78" s="9"/>
      <c r="F78" s="9"/>
      <c r="G78" s="20" t="s">
        <v>192</v>
      </c>
      <c r="H78" s="9"/>
      <c r="I78" s="9"/>
      <c r="J78" s="9"/>
      <c r="K78" s="23"/>
      <c r="L78" s="9"/>
      <c r="M78" s="20" t="s">
        <v>192</v>
      </c>
      <c r="N78" s="9"/>
      <c r="O78" s="6"/>
    </row>
    <row r="79" spans="1:15" ht="15.75">
      <c r="A79" s="7"/>
      <c r="B79" s="63" t="s">
        <v>51</v>
      </c>
      <c r="C79" s="17"/>
      <c r="D79" s="17" t="s">
        <v>178</v>
      </c>
      <c r="E79" s="17" t="s">
        <v>181</v>
      </c>
      <c r="F79" s="17"/>
      <c r="G79" s="20" t="s">
        <v>193</v>
      </c>
      <c r="H79" s="17"/>
      <c r="I79" s="17" t="s">
        <v>178</v>
      </c>
      <c r="J79" s="20"/>
      <c r="K79" s="20" t="s">
        <v>181</v>
      </c>
      <c r="L79" s="20"/>
      <c r="M79" s="20" t="s">
        <v>223</v>
      </c>
      <c r="N79" s="17"/>
      <c r="O79" s="6"/>
    </row>
    <row r="80" spans="1:15" ht="15.75">
      <c r="A80" s="28"/>
      <c r="B80" s="29" t="s">
        <v>52</v>
      </c>
      <c r="C80" s="29"/>
      <c r="D80" s="29">
        <v>0</v>
      </c>
      <c r="E80" s="29">
        <v>0</v>
      </c>
      <c r="F80" s="29"/>
      <c r="G80" s="65">
        <f>SUM(C80:E80)</f>
        <v>0</v>
      </c>
      <c r="H80" s="29"/>
      <c r="I80" s="29">
        <v>0</v>
      </c>
      <c r="J80" s="29"/>
      <c r="K80" s="65">
        <f>SUM(G80:I80)</f>
        <v>0</v>
      </c>
      <c r="L80" s="29"/>
      <c r="M80" s="66">
        <v>0</v>
      </c>
      <c r="N80" s="29"/>
      <c r="O80" s="6"/>
    </row>
    <row r="81" spans="1:15" ht="15.75">
      <c r="A81" s="28"/>
      <c r="B81" s="29" t="s">
        <v>53</v>
      </c>
      <c r="C81" s="53"/>
      <c r="D81" s="29">
        <f>10721-1</f>
        <v>10720</v>
      </c>
      <c r="E81" s="29">
        <v>12262</v>
      </c>
      <c r="F81" s="29"/>
      <c r="G81" s="65">
        <f>E81+D81</f>
        <v>22982</v>
      </c>
      <c r="H81" s="29"/>
      <c r="I81" s="29"/>
      <c r="J81" s="29"/>
      <c r="K81" s="65">
        <v>0</v>
      </c>
      <c r="L81" s="29"/>
      <c r="M81" s="66"/>
      <c r="N81" s="29"/>
      <c r="O81" s="6"/>
    </row>
    <row r="82" spans="1:15" ht="15.75">
      <c r="A82" s="28"/>
      <c r="B82" s="29" t="s">
        <v>54</v>
      </c>
      <c r="C82" s="29"/>
      <c r="D82" s="29"/>
      <c r="E82" s="29"/>
      <c r="F82" s="29"/>
      <c r="G82" s="65"/>
      <c r="H82" s="29"/>
      <c r="I82" s="29">
        <f>1523+219+1516+187+1438+240-1939+14</f>
        <v>3198</v>
      </c>
      <c r="J82" s="29"/>
      <c r="K82" s="65">
        <f>3087+195+2914+189+3417+240+14-6267</f>
        <v>3789</v>
      </c>
      <c r="L82" s="29"/>
      <c r="M82" s="66">
        <f>K82+I82</f>
        <v>6987</v>
      </c>
      <c r="N82" s="29"/>
      <c r="O82" s="6"/>
    </row>
    <row r="83" spans="1:15" ht="15.75">
      <c r="A83" s="28"/>
      <c r="B83" s="29" t="s">
        <v>55</v>
      </c>
      <c r="C83" s="29"/>
      <c r="D83" s="29"/>
      <c r="E83" s="29"/>
      <c r="F83" s="29"/>
      <c r="G83" s="65"/>
      <c r="H83" s="29"/>
      <c r="I83" s="29"/>
      <c r="J83" s="29"/>
      <c r="K83" s="65"/>
      <c r="L83" s="29"/>
      <c r="M83" s="66">
        <f>100+70+118</f>
        <v>288</v>
      </c>
      <c r="N83" s="29"/>
      <c r="O83" s="6"/>
    </row>
    <row r="84" spans="1:15" ht="15.75">
      <c r="A84" s="28"/>
      <c r="B84" s="29" t="s">
        <v>56</v>
      </c>
      <c r="C84" s="29"/>
      <c r="D84" s="29"/>
      <c r="E84" s="29"/>
      <c r="F84" s="29"/>
      <c r="G84" s="65"/>
      <c r="H84" s="29"/>
      <c r="I84" s="29"/>
      <c r="J84" s="29"/>
      <c r="K84" s="65"/>
      <c r="L84" s="29"/>
      <c r="M84" s="66">
        <v>0</v>
      </c>
      <c r="N84" s="29"/>
      <c r="O84" s="6"/>
    </row>
    <row r="85" spans="1:15" ht="15.75">
      <c r="A85" s="28"/>
      <c r="B85" s="29" t="s">
        <v>57</v>
      </c>
      <c r="C85" s="29"/>
      <c r="D85" s="29"/>
      <c r="E85" s="29"/>
      <c r="F85" s="29"/>
      <c r="G85" s="65"/>
      <c r="H85" s="29"/>
      <c r="I85" s="29"/>
      <c r="J85" s="29"/>
      <c r="K85" s="65"/>
      <c r="L85" s="29"/>
      <c r="M85" s="66">
        <v>0</v>
      </c>
      <c r="N85" s="29"/>
      <c r="O85" s="6"/>
    </row>
    <row r="86" spans="1:15" ht="15.75">
      <c r="A86" s="28"/>
      <c r="B86" s="29" t="s">
        <v>58</v>
      </c>
      <c r="C86" s="29"/>
      <c r="D86" s="65">
        <f>SUM(D80:D85)</f>
        <v>10720</v>
      </c>
      <c r="E86" s="65">
        <f>SUM(E80:E85)</f>
        <v>12262</v>
      </c>
      <c r="F86" s="29"/>
      <c r="G86" s="65">
        <f>SUM(G80:G85)</f>
        <v>22982</v>
      </c>
      <c r="H86" s="29"/>
      <c r="I86" s="65">
        <f>SUM(I80:I85)</f>
        <v>3198</v>
      </c>
      <c r="J86" s="29"/>
      <c r="K86" s="65">
        <f>SUM(K80:K85)</f>
        <v>3789</v>
      </c>
      <c r="L86" s="29"/>
      <c r="M86" s="67">
        <f>SUM(M80:M85)</f>
        <v>7275</v>
      </c>
      <c r="N86" s="29"/>
      <c r="O86" s="6"/>
    </row>
    <row r="87" spans="1:15" ht="15.75">
      <c r="A87" s="28"/>
      <c r="B87" s="29" t="s">
        <v>59</v>
      </c>
      <c r="C87" s="29"/>
      <c r="D87" s="65">
        <f>G59</f>
        <v>32</v>
      </c>
      <c r="E87" s="65">
        <f>G66</f>
        <v>75</v>
      </c>
      <c r="F87" s="29"/>
      <c r="G87" s="65">
        <f>E87+D87</f>
        <v>107</v>
      </c>
      <c r="H87" s="29"/>
      <c r="I87" s="65">
        <v>0</v>
      </c>
      <c r="J87" s="29"/>
      <c r="K87" s="65">
        <v>0</v>
      </c>
      <c r="L87" s="29"/>
      <c r="M87" s="66">
        <f>-G87</f>
        <v>-107</v>
      </c>
      <c r="N87" s="29"/>
      <c r="O87" s="6"/>
    </row>
    <row r="88" spans="1:15" ht="15.75">
      <c r="A88" s="28"/>
      <c r="B88" s="29" t="s">
        <v>60</v>
      </c>
      <c r="C88" s="29"/>
      <c r="D88" s="65">
        <f>D86+D87</f>
        <v>10752</v>
      </c>
      <c r="E88" s="65">
        <f>E86+E87</f>
        <v>12337</v>
      </c>
      <c r="F88" s="29"/>
      <c r="G88" s="65">
        <f>G86+G87</f>
        <v>23089</v>
      </c>
      <c r="H88" s="29"/>
      <c r="I88" s="65">
        <f>I86+I87</f>
        <v>3198</v>
      </c>
      <c r="J88" s="29"/>
      <c r="K88" s="65">
        <f>K86+K87</f>
        <v>3789</v>
      </c>
      <c r="L88" s="29"/>
      <c r="M88" s="67">
        <f>M86+M87</f>
        <v>7168</v>
      </c>
      <c r="N88" s="29"/>
      <c r="O88" s="6"/>
    </row>
    <row r="89" spans="1:15" ht="15.75">
      <c r="A89" s="28"/>
      <c r="B89" s="157" t="s">
        <v>61</v>
      </c>
      <c r="C89" s="72"/>
      <c r="D89" s="72"/>
      <c r="E89" s="29"/>
      <c r="F89" s="29"/>
      <c r="G89" s="29"/>
      <c r="H89" s="29"/>
      <c r="I89" s="29"/>
      <c r="J89" s="29"/>
      <c r="K89" s="65"/>
      <c r="L89" s="29"/>
      <c r="M89" s="66"/>
      <c r="N89" s="29"/>
      <c r="O89" s="6"/>
    </row>
    <row r="90" spans="1:15" ht="15.75">
      <c r="A90" s="28">
        <v>1</v>
      </c>
      <c r="B90" s="29" t="s">
        <v>62</v>
      </c>
      <c r="C90" s="29"/>
      <c r="D90" s="29"/>
      <c r="E90" s="29"/>
      <c r="F90" s="29"/>
      <c r="G90" s="29"/>
      <c r="H90" s="29"/>
      <c r="I90" s="29"/>
      <c r="J90" s="29"/>
      <c r="K90" s="29"/>
      <c r="L90" s="29"/>
      <c r="M90" s="66">
        <v>-4</v>
      </c>
      <c r="N90" s="29"/>
      <c r="O90" s="6"/>
    </row>
    <row r="91" spans="1:15" ht="15.75">
      <c r="A91" s="28">
        <v>2</v>
      </c>
      <c r="B91" s="29" t="s">
        <v>63</v>
      </c>
      <c r="C91" s="29"/>
      <c r="D91" s="29"/>
      <c r="E91" s="29"/>
      <c r="F91" s="29"/>
      <c r="G91" s="29"/>
      <c r="H91" s="29"/>
      <c r="I91" s="29"/>
      <c r="J91" s="29"/>
      <c r="K91" s="29"/>
      <c r="L91" s="29"/>
      <c r="M91" s="66">
        <v>-288</v>
      </c>
      <c r="N91" s="29"/>
      <c r="O91" s="6"/>
    </row>
    <row r="92" spans="1:15" ht="15.75">
      <c r="A92" s="28">
        <v>3</v>
      </c>
      <c r="B92" s="29" t="s">
        <v>64</v>
      </c>
      <c r="C92" s="29"/>
      <c r="D92" s="29"/>
      <c r="E92" s="29"/>
      <c r="F92" s="29"/>
      <c r="G92" s="29"/>
      <c r="H92" s="29"/>
      <c r="I92" s="29"/>
      <c r="J92" s="29"/>
      <c r="K92" s="29"/>
      <c r="L92" s="29"/>
      <c r="M92" s="66">
        <v>-2263</v>
      </c>
      <c r="N92" s="29"/>
      <c r="O92" s="6"/>
    </row>
    <row r="93" spans="1:15" ht="15.75">
      <c r="A93" s="28">
        <v>4</v>
      </c>
      <c r="B93" s="29" t="s">
        <v>227</v>
      </c>
      <c r="C93" s="29"/>
      <c r="D93" s="29"/>
      <c r="E93" s="29"/>
      <c r="F93" s="29"/>
      <c r="G93" s="29"/>
      <c r="H93" s="29"/>
      <c r="I93" s="29"/>
      <c r="J93" s="29"/>
      <c r="K93" s="29"/>
      <c r="L93" s="29"/>
      <c r="M93" s="66">
        <v>-217</v>
      </c>
      <c r="N93" s="29"/>
      <c r="O93" s="6"/>
    </row>
    <row r="94" spans="1:15" ht="15.75">
      <c r="A94" s="28">
        <v>4</v>
      </c>
      <c r="B94" s="29" t="s">
        <v>65</v>
      </c>
      <c r="C94" s="29"/>
      <c r="D94" s="29"/>
      <c r="E94" s="29"/>
      <c r="F94" s="29"/>
      <c r="G94" s="29"/>
      <c r="H94" s="29"/>
      <c r="I94" s="29"/>
      <c r="J94" s="29"/>
      <c r="K94" s="29"/>
      <c r="L94" s="29"/>
      <c r="M94" s="66">
        <v>-3</v>
      </c>
      <c r="N94" s="29"/>
      <c r="O94" s="6"/>
    </row>
    <row r="95" spans="1:15" ht="15.75">
      <c r="A95" s="28">
        <v>5</v>
      </c>
      <c r="B95" s="29" t="s">
        <v>66</v>
      </c>
      <c r="C95" s="29"/>
      <c r="D95" s="29"/>
      <c r="E95" s="29"/>
      <c r="F95" s="29"/>
      <c r="G95" s="29"/>
      <c r="H95" s="29"/>
      <c r="I95" s="29"/>
      <c r="J95" s="29"/>
      <c r="K95" s="29"/>
      <c r="L95" s="29"/>
      <c r="M95" s="66">
        <v>-240</v>
      </c>
      <c r="N95" s="29"/>
      <c r="O95" s="6"/>
    </row>
    <row r="96" spans="1:15" ht="15.75">
      <c r="A96" s="28">
        <v>6</v>
      </c>
      <c r="B96" s="29" t="s">
        <v>67</v>
      </c>
      <c r="C96" s="29"/>
      <c r="D96" s="29"/>
      <c r="E96" s="29"/>
      <c r="F96" s="29"/>
      <c r="G96" s="29"/>
      <c r="H96" s="29"/>
      <c r="I96" s="29"/>
      <c r="J96" s="29"/>
      <c r="K96" s="29"/>
      <c r="L96" s="29"/>
      <c r="M96" s="66">
        <v>-166</v>
      </c>
      <c r="N96" s="29"/>
      <c r="O96" s="6"/>
    </row>
    <row r="97" spans="1:15" ht="15.75">
      <c r="A97" s="28">
        <v>7</v>
      </c>
      <c r="B97" s="29" t="s">
        <v>68</v>
      </c>
      <c r="C97" s="29"/>
      <c r="D97" s="29"/>
      <c r="E97" s="29"/>
      <c r="F97" s="29"/>
      <c r="G97" s="29"/>
      <c r="H97" s="29"/>
      <c r="I97" s="29"/>
      <c r="J97" s="29"/>
      <c r="K97" s="29"/>
      <c r="L97" s="29"/>
      <c r="M97" s="66">
        <v>0</v>
      </c>
      <c r="N97" s="29"/>
      <c r="O97" s="6"/>
    </row>
    <row r="98" spans="1:15" ht="15.75">
      <c r="A98" s="28">
        <v>8</v>
      </c>
      <c r="B98" s="29" t="s">
        <v>69</v>
      </c>
      <c r="C98" s="29"/>
      <c r="D98" s="29"/>
      <c r="E98" s="29"/>
      <c r="F98" s="29"/>
      <c r="G98" s="29"/>
      <c r="H98" s="29"/>
      <c r="I98" s="29"/>
      <c r="J98" s="29"/>
      <c r="K98" s="65">
        <f>-M98</f>
        <v>314</v>
      </c>
      <c r="L98" s="29"/>
      <c r="M98" s="66">
        <f>I73</f>
        <v>-314</v>
      </c>
      <c r="N98" s="29"/>
      <c r="O98" s="6"/>
    </row>
    <row r="99" spans="1:15" ht="15.75">
      <c r="A99" s="28">
        <v>9</v>
      </c>
      <c r="B99" s="29" t="s">
        <v>46</v>
      </c>
      <c r="C99" s="29"/>
      <c r="D99" s="29"/>
      <c r="E99" s="29"/>
      <c r="F99" s="29"/>
      <c r="G99" s="29"/>
      <c r="H99" s="29"/>
      <c r="I99" s="29"/>
      <c r="J99" s="29"/>
      <c r="K99" s="65">
        <f>-M99</f>
        <v>0</v>
      </c>
      <c r="L99" s="29"/>
      <c r="M99" s="66">
        <v>0</v>
      </c>
      <c r="N99" s="29"/>
      <c r="O99" s="6"/>
    </row>
    <row r="100" spans="1:15" ht="15.75">
      <c r="A100" s="28">
        <v>10</v>
      </c>
      <c r="B100" s="29" t="s">
        <v>228</v>
      </c>
      <c r="C100" s="29"/>
      <c r="D100" s="29"/>
      <c r="E100" s="29"/>
      <c r="F100" s="29"/>
      <c r="G100" s="29"/>
      <c r="H100" s="29"/>
      <c r="I100" s="29"/>
      <c r="J100" s="29"/>
      <c r="K100" s="29"/>
      <c r="L100" s="29"/>
      <c r="M100" s="66">
        <v>-49</v>
      </c>
      <c r="N100" s="29"/>
      <c r="O100" s="6"/>
    </row>
    <row r="101" spans="1:15" ht="15.75">
      <c r="A101" s="28">
        <v>11</v>
      </c>
      <c r="B101" s="29" t="s">
        <v>71</v>
      </c>
      <c r="C101" s="29"/>
      <c r="D101" s="29"/>
      <c r="E101" s="29"/>
      <c r="F101" s="29"/>
      <c r="G101" s="29"/>
      <c r="H101" s="29"/>
      <c r="I101" s="29"/>
      <c r="J101" s="29"/>
      <c r="K101" s="29"/>
      <c r="L101" s="29"/>
      <c r="M101" s="66">
        <f>SUM(M88:M100)*-1</f>
        <v>-3624</v>
      </c>
      <c r="N101" s="29"/>
      <c r="O101" s="6"/>
    </row>
    <row r="102" spans="1:15" ht="15.75">
      <c r="A102" s="28"/>
      <c r="B102" s="157" t="s">
        <v>72</v>
      </c>
      <c r="C102" s="72"/>
      <c r="D102" s="72"/>
      <c r="E102" s="29"/>
      <c r="F102" s="29"/>
      <c r="G102" s="29"/>
      <c r="H102" s="29"/>
      <c r="I102" s="29"/>
      <c r="J102" s="29"/>
      <c r="K102" s="29"/>
      <c r="L102" s="29"/>
      <c r="M102" s="73"/>
      <c r="N102" s="29"/>
      <c r="O102" s="6"/>
    </row>
    <row r="103" spans="1:15" ht="15.75">
      <c r="A103" s="28"/>
      <c r="B103" s="74" t="s">
        <v>73</v>
      </c>
      <c r="C103" s="72"/>
      <c r="D103" s="72"/>
      <c r="E103" s="29"/>
      <c r="F103" s="29"/>
      <c r="G103" s="29"/>
      <c r="H103" s="29"/>
      <c r="I103" s="29"/>
      <c r="J103" s="29"/>
      <c r="K103" s="65">
        <f>E72</f>
        <v>18367</v>
      </c>
      <c r="L103" s="29"/>
      <c r="M103" s="73"/>
      <c r="N103" s="29"/>
      <c r="O103" s="6"/>
    </row>
    <row r="104" spans="1:15" ht="15.75">
      <c r="A104" s="28"/>
      <c r="B104" s="74" t="s">
        <v>74</v>
      </c>
      <c r="C104" s="72"/>
      <c r="D104" s="72"/>
      <c r="E104" s="29"/>
      <c r="F104" s="29"/>
      <c r="G104" s="29"/>
      <c r="H104" s="29"/>
      <c r="I104" s="29"/>
      <c r="J104" s="29"/>
      <c r="K104" s="65">
        <f>G88</f>
        <v>23089</v>
      </c>
      <c r="L104" s="29"/>
      <c r="M104" s="73"/>
      <c r="N104" s="29"/>
      <c r="O104" s="6"/>
    </row>
    <row r="105" spans="1:15" ht="15.75">
      <c r="A105" s="75"/>
      <c r="B105" s="29" t="s">
        <v>75</v>
      </c>
      <c r="C105" s="72"/>
      <c r="D105" s="72"/>
      <c r="E105" s="29"/>
      <c r="F105" s="29"/>
      <c r="G105" s="29"/>
      <c r="H105" s="29"/>
      <c r="I105" s="29"/>
      <c r="J105" s="29"/>
      <c r="K105" s="65">
        <f>-I68-I61</f>
        <v>-21833</v>
      </c>
      <c r="L105" s="29"/>
      <c r="M105" s="73"/>
      <c r="N105" s="29"/>
      <c r="O105" s="6"/>
    </row>
    <row r="106" spans="1:15" ht="15.75">
      <c r="A106" s="28"/>
      <c r="B106" s="29" t="s">
        <v>76</v>
      </c>
      <c r="C106" s="72"/>
      <c r="D106" s="72"/>
      <c r="E106" s="29"/>
      <c r="F106" s="29"/>
      <c r="G106" s="29"/>
      <c r="H106" s="29"/>
      <c r="I106" s="29"/>
      <c r="J106" s="29"/>
      <c r="K106" s="65">
        <v>0</v>
      </c>
      <c r="L106" s="65"/>
      <c r="M106" s="66"/>
      <c r="N106" s="29"/>
      <c r="O106" s="6"/>
    </row>
    <row r="107" spans="1:15" ht="15.75">
      <c r="A107" s="28"/>
      <c r="B107" s="29" t="s">
        <v>77</v>
      </c>
      <c r="C107" s="29"/>
      <c r="D107" s="29"/>
      <c r="E107" s="29"/>
      <c r="F107" s="29"/>
      <c r="G107" s="29"/>
      <c r="H107" s="29"/>
      <c r="I107" s="29"/>
      <c r="J107" s="29"/>
      <c r="K107" s="65">
        <v>0</v>
      </c>
      <c r="L107" s="65"/>
      <c r="M107" s="66"/>
      <c r="N107" s="29"/>
      <c r="O107" s="6"/>
    </row>
    <row r="108" spans="1:15" ht="15.75">
      <c r="A108" s="28"/>
      <c r="B108" s="29" t="s">
        <v>78</v>
      </c>
      <c r="C108" s="29"/>
      <c r="D108" s="29"/>
      <c r="E108" s="29"/>
      <c r="F108" s="29"/>
      <c r="G108" s="29"/>
      <c r="H108" s="29"/>
      <c r="I108" s="29"/>
      <c r="J108" s="29"/>
      <c r="K108" s="65">
        <v>0</v>
      </c>
      <c r="L108" s="65"/>
      <c r="M108" s="66"/>
      <c r="N108" s="29"/>
      <c r="O108" s="6"/>
    </row>
    <row r="109" spans="1:15" ht="15.75">
      <c r="A109" s="28"/>
      <c r="B109" s="29" t="s">
        <v>79</v>
      </c>
      <c r="C109" s="29"/>
      <c r="D109" s="29"/>
      <c r="E109" s="29"/>
      <c r="F109" s="29"/>
      <c r="G109" s="29"/>
      <c r="H109" s="29"/>
      <c r="I109" s="29"/>
      <c r="J109" s="29"/>
      <c r="K109" s="65">
        <v>0</v>
      </c>
      <c r="L109" s="65"/>
      <c r="M109" s="66"/>
      <c r="N109" s="29"/>
      <c r="O109" s="6"/>
    </row>
    <row r="110" spans="1:15" ht="15.75">
      <c r="A110" s="28"/>
      <c r="B110" s="29" t="s">
        <v>80</v>
      </c>
      <c r="C110" s="29"/>
      <c r="D110" s="29"/>
      <c r="E110" s="29"/>
      <c r="F110" s="29"/>
      <c r="G110" s="29"/>
      <c r="H110" s="29"/>
      <c r="I110" s="29"/>
      <c r="J110" s="29"/>
      <c r="K110" s="65">
        <v>0</v>
      </c>
      <c r="L110" s="65"/>
      <c r="M110" s="66"/>
      <c r="N110" s="29"/>
      <c r="O110" s="6"/>
    </row>
    <row r="111" spans="1:15" ht="15.75">
      <c r="A111" s="28"/>
      <c r="B111" s="29" t="s">
        <v>81</v>
      </c>
      <c r="C111" s="29"/>
      <c r="D111" s="29"/>
      <c r="E111" s="29"/>
      <c r="F111" s="29"/>
      <c r="G111" s="29"/>
      <c r="H111" s="29"/>
      <c r="I111" s="29"/>
      <c r="J111" s="29"/>
      <c r="K111" s="65">
        <v>0</v>
      </c>
      <c r="L111" s="65"/>
      <c r="M111" s="66"/>
      <c r="N111" s="29"/>
      <c r="O111" s="6"/>
    </row>
    <row r="112" spans="1:15" ht="15.75">
      <c r="A112" s="28"/>
      <c r="B112" s="29" t="s">
        <v>82</v>
      </c>
      <c r="C112" s="29"/>
      <c r="D112" s="29"/>
      <c r="E112" s="29"/>
      <c r="F112" s="29"/>
      <c r="G112" s="29"/>
      <c r="H112" s="29"/>
      <c r="I112" s="29"/>
      <c r="J112" s="29"/>
      <c r="K112" s="65">
        <f>SUM(K105:K111)</f>
        <v>-21833</v>
      </c>
      <c r="L112" s="65"/>
      <c r="M112" s="65">
        <f>SUM(M89:M101)</f>
        <v>-7168</v>
      </c>
      <c r="N112" s="29"/>
      <c r="O112" s="6"/>
    </row>
    <row r="113" spans="1:15" ht="15.75">
      <c r="A113" s="28"/>
      <c r="B113" s="29" t="s">
        <v>83</v>
      </c>
      <c r="C113" s="29"/>
      <c r="D113" s="29"/>
      <c r="E113" s="29"/>
      <c r="F113" s="29"/>
      <c r="G113" s="29"/>
      <c r="H113" s="29"/>
      <c r="I113" s="29"/>
      <c r="J113" s="29"/>
      <c r="K113" s="65">
        <f>SUM(K103:K111)+SUM(K98:K99)</f>
        <v>19937</v>
      </c>
      <c r="L113" s="65"/>
      <c r="M113" s="65">
        <f>M88+M112</f>
        <v>0</v>
      </c>
      <c r="N113" s="29"/>
      <c r="O113" s="6"/>
    </row>
    <row r="114" spans="1:15" ht="15.75">
      <c r="A114" s="28"/>
      <c r="B114" s="29"/>
      <c r="C114" s="29"/>
      <c r="D114" s="29"/>
      <c r="E114" s="29"/>
      <c r="F114" s="29"/>
      <c r="G114" s="29"/>
      <c r="H114" s="29"/>
      <c r="I114" s="29"/>
      <c r="J114" s="29"/>
      <c r="K114" s="65"/>
      <c r="L114" s="65"/>
      <c r="M114" s="65"/>
      <c r="N114" s="29"/>
      <c r="O114" s="6"/>
    </row>
    <row r="115" spans="1:15" ht="15.75">
      <c r="A115" s="7"/>
      <c r="B115" s="14"/>
      <c r="C115" s="9"/>
      <c r="D115" s="9"/>
      <c r="E115" s="9"/>
      <c r="F115" s="9"/>
      <c r="G115" s="9"/>
      <c r="H115" s="9"/>
      <c r="I115" s="9"/>
      <c r="J115" s="9"/>
      <c r="K115" s="68"/>
      <c r="L115" s="68"/>
      <c r="M115" s="68"/>
      <c r="N115" s="9"/>
      <c r="O115" s="6"/>
    </row>
    <row r="116" spans="1:15" ht="16.5" thickBot="1">
      <c r="A116" s="134"/>
      <c r="B116" s="135" t="s">
        <v>230</v>
      </c>
      <c r="C116" s="136"/>
      <c r="D116" s="136"/>
      <c r="E116" s="136"/>
      <c r="F116" s="136"/>
      <c r="G116" s="136"/>
      <c r="H116" s="136"/>
      <c r="I116" s="136"/>
      <c r="J116" s="136"/>
      <c r="K116" s="139"/>
      <c r="L116" s="139"/>
      <c r="M116" s="139"/>
      <c r="N116" s="138"/>
      <c r="O116" s="6"/>
    </row>
    <row r="117" spans="1:15" ht="15.75">
      <c r="A117" s="2"/>
      <c r="B117" s="5"/>
      <c r="C117" s="5"/>
      <c r="D117" s="5"/>
      <c r="E117" s="5"/>
      <c r="F117" s="5"/>
      <c r="G117" s="5"/>
      <c r="H117" s="5"/>
      <c r="I117" s="5"/>
      <c r="J117" s="5"/>
      <c r="K117" s="76"/>
      <c r="L117" s="76"/>
      <c r="M117" s="76"/>
      <c r="N117" s="5"/>
      <c r="O117" s="6"/>
    </row>
    <row r="118" spans="1:15" ht="15.75">
      <c r="A118" s="7"/>
      <c r="B118" s="9"/>
      <c r="C118" s="9"/>
      <c r="D118" s="9"/>
      <c r="E118" s="9"/>
      <c r="F118" s="9"/>
      <c r="G118" s="9"/>
      <c r="H118" s="9"/>
      <c r="I118" s="9"/>
      <c r="J118" s="9"/>
      <c r="K118" s="9"/>
      <c r="L118" s="9"/>
      <c r="M118" s="64"/>
      <c r="N118" s="9"/>
      <c r="O118" s="6"/>
    </row>
    <row r="119" spans="1:15" ht="15.75">
      <c r="A119" s="77"/>
      <c r="B119" s="78"/>
      <c r="C119" s="78"/>
      <c r="D119" s="78"/>
      <c r="E119" s="78"/>
      <c r="F119" s="78"/>
      <c r="G119" s="78"/>
      <c r="H119" s="78"/>
      <c r="I119" s="78"/>
      <c r="J119" s="78"/>
      <c r="K119" s="78"/>
      <c r="L119" s="78"/>
      <c r="M119" s="79"/>
      <c r="N119" s="78"/>
      <c r="O119" s="6"/>
    </row>
    <row r="120" spans="1:15" ht="15.75">
      <c r="A120" s="77"/>
      <c r="B120" s="80" t="s">
        <v>84</v>
      </c>
      <c r="C120" s="78"/>
      <c r="D120" s="78"/>
      <c r="E120" s="78"/>
      <c r="F120" s="78"/>
      <c r="G120" s="78"/>
      <c r="H120" s="78"/>
      <c r="I120" s="78"/>
      <c r="J120" s="78"/>
      <c r="K120" s="78"/>
      <c r="L120" s="78"/>
      <c r="M120" s="79"/>
      <c r="N120" s="81"/>
      <c r="O120" s="6"/>
    </row>
    <row r="121" spans="1:15" ht="15.75">
      <c r="A121" s="77"/>
      <c r="B121" s="78"/>
      <c r="C121" s="78"/>
      <c r="D121" s="78"/>
      <c r="E121" s="78"/>
      <c r="F121" s="78"/>
      <c r="G121" s="78"/>
      <c r="H121" s="78"/>
      <c r="I121" s="78"/>
      <c r="J121" s="78"/>
      <c r="K121" s="78"/>
      <c r="L121" s="78"/>
      <c r="M121" s="79"/>
      <c r="N121" s="78"/>
      <c r="O121" s="6"/>
    </row>
    <row r="122" spans="1:15" ht="15.75">
      <c r="A122" s="7"/>
      <c r="B122" s="158" t="s">
        <v>85</v>
      </c>
      <c r="C122" s="15"/>
      <c r="D122" s="15"/>
      <c r="E122" s="9"/>
      <c r="F122" s="9"/>
      <c r="G122" s="9"/>
      <c r="H122" s="9"/>
      <c r="I122" s="9"/>
      <c r="J122" s="9"/>
      <c r="K122" s="9"/>
      <c r="L122" s="9"/>
      <c r="M122" s="64"/>
      <c r="N122" s="9"/>
      <c r="O122" s="6"/>
    </row>
    <row r="123" spans="1:15" ht="15.75">
      <c r="A123" s="28"/>
      <c r="B123" s="29" t="s">
        <v>86</v>
      </c>
      <c r="C123" s="29"/>
      <c r="D123" s="29"/>
      <c r="E123" s="29"/>
      <c r="F123" s="29"/>
      <c r="G123" s="29"/>
      <c r="H123" s="29"/>
      <c r="I123" s="29"/>
      <c r="J123" s="29"/>
      <c r="K123" s="29"/>
      <c r="L123" s="29"/>
      <c r="M123" s="66">
        <v>5852</v>
      </c>
      <c r="N123" s="29"/>
      <c r="O123" s="6"/>
    </row>
    <row r="124" spans="1:15" ht="15.75">
      <c r="A124" s="28"/>
      <c r="B124" s="29" t="s">
        <v>87</v>
      </c>
      <c r="C124" s="29"/>
      <c r="D124" s="29"/>
      <c r="E124" s="29"/>
      <c r="F124" s="29"/>
      <c r="G124" s="29"/>
      <c r="H124" s="29"/>
      <c r="I124" s="29"/>
      <c r="J124" s="29"/>
      <c r="K124" s="29"/>
      <c r="L124" s="29"/>
      <c r="M124" s="66">
        <v>0</v>
      </c>
      <c r="N124" s="29"/>
      <c r="O124" s="6"/>
    </row>
    <row r="125" spans="1:15" ht="15.75">
      <c r="A125" s="28"/>
      <c r="B125" s="29" t="s">
        <v>88</v>
      </c>
      <c r="C125" s="29"/>
      <c r="D125" s="29"/>
      <c r="E125" s="29"/>
      <c r="F125" s="29"/>
      <c r="G125" s="29"/>
      <c r="H125" s="29"/>
      <c r="I125" s="29"/>
      <c r="J125" s="29"/>
      <c r="K125" s="29"/>
      <c r="L125" s="29"/>
      <c r="M125" s="66">
        <v>0</v>
      </c>
      <c r="N125" s="29"/>
      <c r="O125" s="6"/>
    </row>
    <row r="126" spans="1:15" ht="15.75">
      <c r="A126" s="28"/>
      <c r="B126" s="29" t="s">
        <v>89</v>
      </c>
      <c r="C126" s="29"/>
      <c r="D126" s="29"/>
      <c r="E126" s="29"/>
      <c r="F126" s="29"/>
      <c r="G126" s="29"/>
      <c r="H126" s="29"/>
      <c r="I126" s="29"/>
      <c r="J126" s="29"/>
      <c r="K126" s="29"/>
      <c r="L126" s="29"/>
      <c r="M126" s="66">
        <v>0</v>
      </c>
      <c r="N126" s="29"/>
      <c r="O126" s="6"/>
    </row>
    <row r="127" spans="1:15" ht="15.75">
      <c r="A127" s="28"/>
      <c r="B127" s="29" t="s">
        <v>90</v>
      </c>
      <c r="C127" s="29"/>
      <c r="D127" s="29"/>
      <c r="E127" s="29"/>
      <c r="F127" s="29"/>
      <c r="G127" s="29"/>
      <c r="H127" s="29"/>
      <c r="I127" s="29"/>
      <c r="J127" s="29"/>
      <c r="K127" s="29"/>
      <c r="L127" s="29"/>
      <c r="M127" s="66">
        <v>0</v>
      </c>
      <c r="N127" s="29"/>
      <c r="O127" s="6"/>
    </row>
    <row r="128" spans="1:15" ht="15.75">
      <c r="A128" s="28"/>
      <c r="B128" s="29" t="s">
        <v>91</v>
      </c>
      <c r="C128" s="29"/>
      <c r="D128" s="29"/>
      <c r="E128" s="29"/>
      <c r="F128" s="29"/>
      <c r="G128" s="29"/>
      <c r="H128" s="29"/>
      <c r="I128" s="29"/>
      <c r="J128" s="29"/>
      <c r="K128" s="29"/>
      <c r="L128" s="29"/>
      <c r="M128" s="66">
        <v>0</v>
      </c>
      <c r="N128" s="29"/>
      <c r="O128" s="6"/>
    </row>
    <row r="129" spans="1:15" ht="15.75">
      <c r="A129" s="28"/>
      <c r="B129" s="29" t="s">
        <v>66</v>
      </c>
      <c r="C129" s="29"/>
      <c r="D129" s="29"/>
      <c r="E129" s="29"/>
      <c r="F129" s="29"/>
      <c r="G129" s="29"/>
      <c r="H129" s="29"/>
      <c r="I129" s="29"/>
      <c r="J129" s="29"/>
      <c r="K129" s="29"/>
      <c r="L129" s="29"/>
      <c r="M129" s="66">
        <v>0</v>
      </c>
      <c r="N129" s="29"/>
      <c r="O129" s="6"/>
    </row>
    <row r="130" spans="1:15" ht="15.75">
      <c r="A130" s="28"/>
      <c r="B130" s="29" t="s">
        <v>67</v>
      </c>
      <c r="C130" s="29"/>
      <c r="D130" s="29"/>
      <c r="E130" s="29"/>
      <c r="F130" s="29"/>
      <c r="G130" s="29"/>
      <c r="H130" s="29"/>
      <c r="I130" s="29"/>
      <c r="J130" s="29"/>
      <c r="K130" s="29"/>
      <c r="L130" s="29"/>
      <c r="M130" s="66">
        <v>0</v>
      </c>
      <c r="N130" s="29"/>
      <c r="O130" s="6"/>
    </row>
    <row r="131" spans="1:15" ht="15.75">
      <c r="A131" s="28"/>
      <c r="B131" s="29" t="s">
        <v>92</v>
      </c>
      <c r="C131" s="29"/>
      <c r="D131" s="29"/>
      <c r="E131" s="29"/>
      <c r="F131" s="29"/>
      <c r="G131" s="29"/>
      <c r="H131" s="29"/>
      <c r="I131" s="29"/>
      <c r="J131" s="29"/>
      <c r="K131" s="29"/>
      <c r="L131" s="29"/>
      <c r="M131" s="66">
        <f>M123+M126</f>
        <v>5852</v>
      </c>
      <c r="N131" s="29"/>
      <c r="O131" s="6"/>
    </row>
    <row r="132" spans="1:15" ht="15.75">
      <c r="A132" s="28"/>
      <c r="B132" s="29"/>
      <c r="C132" s="29"/>
      <c r="D132" s="29"/>
      <c r="E132" s="29"/>
      <c r="F132" s="29"/>
      <c r="G132" s="29"/>
      <c r="H132" s="29"/>
      <c r="I132" s="29"/>
      <c r="J132" s="29"/>
      <c r="K132" s="29"/>
      <c r="L132" s="29"/>
      <c r="M132" s="82"/>
      <c r="N132" s="29"/>
      <c r="O132" s="6"/>
    </row>
    <row r="133" spans="1:15" ht="15.75">
      <c r="A133" s="7"/>
      <c r="B133" s="158" t="s">
        <v>50</v>
      </c>
      <c r="C133" s="9"/>
      <c r="D133" s="9"/>
      <c r="E133" s="9"/>
      <c r="F133" s="9"/>
      <c r="G133" s="9"/>
      <c r="H133" s="9"/>
      <c r="I133" s="9"/>
      <c r="J133" s="9"/>
      <c r="K133" s="9"/>
      <c r="L133" s="9"/>
      <c r="M133" s="64"/>
      <c r="N133" s="9"/>
      <c r="O133" s="6"/>
    </row>
    <row r="134" spans="1:15" ht="15.75">
      <c r="A134" s="28"/>
      <c r="B134" s="29" t="s">
        <v>93</v>
      </c>
      <c r="C134" s="83"/>
      <c r="D134" s="83"/>
      <c r="E134" s="29"/>
      <c r="F134" s="29"/>
      <c r="G134" s="29"/>
      <c r="H134" s="29"/>
      <c r="I134" s="29"/>
      <c r="J134" s="29"/>
      <c r="K134" s="29"/>
      <c r="L134" s="29"/>
      <c r="M134" s="66">
        <v>2926</v>
      </c>
      <c r="N134" s="29"/>
      <c r="O134" s="6"/>
    </row>
    <row r="135" spans="1:15" ht="15.75">
      <c r="A135" s="28"/>
      <c r="B135" s="29" t="s">
        <v>94</v>
      </c>
      <c r="C135" s="29"/>
      <c r="D135" s="29"/>
      <c r="E135" s="29"/>
      <c r="F135" s="29"/>
      <c r="G135" s="29"/>
      <c r="H135" s="29"/>
      <c r="I135" s="29"/>
      <c r="J135" s="29"/>
      <c r="K135" s="29"/>
      <c r="L135" s="29"/>
      <c r="M135" s="66">
        <v>2926</v>
      </c>
      <c r="N135" s="29"/>
      <c r="O135" s="6"/>
    </row>
    <row r="136" spans="1:15" ht="15.75">
      <c r="A136" s="28"/>
      <c r="B136" s="29" t="s">
        <v>95</v>
      </c>
      <c r="C136" s="29"/>
      <c r="D136" s="29"/>
      <c r="E136" s="29"/>
      <c r="F136" s="29"/>
      <c r="G136" s="29"/>
      <c r="H136" s="29"/>
      <c r="I136" s="29"/>
      <c r="J136" s="29"/>
      <c r="K136" s="29"/>
      <c r="L136" s="29"/>
      <c r="M136" s="66">
        <f>-M99</f>
        <v>0</v>
      </c>
      <c r="N136" s="29"/>
      <c r="O136" s="6"/>
    </row>
    <row r="137" spans="1:15" ht="15.75">
      <c r="A137" s="28"/>
      <c r="B137" s="29" t="s">
        <v>96</v>
      </c>
      <c r="C137" s="29"/>
      <c r="D137" s="29"/>
      <c r="E137" s="29"/>
      <c r="F137" s="29"/>
      <c r="G137" s="29"/>
      <c r="H137" s="29"/>
      <c r="I137" s="29"/>
      <c r="J137" s="29"/>
      <c r="K137" s="29"/>
      <c r="L137" s="29"/>
      <c r="M137" s="66">
        <f>M134-M135-M136</f>
        <v>0</v>
      </c>
      <c r="N137" s="29"/>
      <c r="O137" s="6"/>
    </row>
    <row r="138" spans="1:15" ht="15.75">
      <c r="A138" s="28"/>
      <c r="B138" s="29"/>
      <c r="C138" s="29"/>
      <c r="D138" s="29"/>
      <c r="E138" s="29"/>
      <c r="F138" s="29"/>
      <c r="G138" s="29"/>
      <c r="H138" s="29"/>
      <c r="I138" s="29"/>
      <c r="J138" s="29"/>
      <c r="K138" s="29"/>
      <c r="L138" s="29"/>
      <c r="M138" s="84"/>
      <c r="N138" s="29"/>
      <c r="O138" s="6"/>
    </row>
    <row r="139" spans="1:15" ht="15.75">
      <c r="A139" s="7"/>
      <c r="B139" s="158" t="s">
        <v>97</v>
      </c>
      <c r="C139" s="15"/>
      <c r="D139" s="15"/>
      <c r="E139" s="9"/>
      <c r="F139" s="9"/>
      <c r="G139" s="17" t="s">
        <v>178</v>
      </c>
      <c r="H139" s="17"/>
      <c r="I139" s="17" t="s">
        <v>181</v>
      </c>
      <c r="J139" s="9"/>
      <c r="K139" s="9"/>
      <c r="L139" s="9"/>
      <c r="M139" s="85"/>
      <c r="N139" s="9"/>
      <c r="O139" s="6"/>
    </row>
    <row r="140" spans="1:15" ht="15.75">
      <c r="A140" s="7"/>
      <c r="B140" s="15"/>
      <c r="C140" s="15"/>
      <c r="D140" s="15"/>
      <c r="E140" s="9"/>
      <c r="F140" s="9"/>
      <c r="G140" s="9"/>
      <c r="H140" s="9"/>
      <c r="I140" s="9"/>
      <c r="J140" s="9"/>
      <c r="K140" s="9"/>
      <c r="L140" s="9"/>
      <c r="M140" s="85"/>
      <c r="N140" s="9"/>
      <c r="O140" s="6"/>
    </row>
    <row r="141" spans="1:15" ht="15.75">
      <c r="A141" s="28"/>
      <c r="B141" s="29" t="s">
        <v>98</v>
      </c>
      <c r="C141" s="29"/>
      <c r="D141" s="29"/>
      <c r="E141" s="29"/>
      <c r="F141" s="29"/>
      <c r="G141" s="29">
        <v>0</v>
      </c>
      <c r="H141" s="29"/>
      <c r="I141" s="29">
        <v>0</v>
      </c>
      <c r="J141" s="29"/>
      <c r="K141" s="29"/>
      <c r="L141" s="29"/>
      <c r="M141" s="66">
        <v>0</v>
      </c>
      <c r="N141" s="29"/>
      <c r="O141" s="6"/>
    </row>
    <row r="142" spans="1:15" ht="15.75">
      <c r="A142" s="28"/>
      <c r="B142" s="29" t="s">
        <v>99</v>
      </c>
      <c r="C142" s="29"/>
      <c r="D142" s="29"/>
      <c r="E142" s="29"/>
      <c r="F142" s="29"/>
      <c r="G142" s="29">
        <v>76</v>
      </c>
      <c r="H142" s="29"/>
      <c r="I142" s="29">
        <f>237+1</f>
        <v>238</v>
      </c>
      <c r="J142" s="29"/>
      <c r="K142" s="29"/>
      <c r="L142" s="29"/>
      <c r="M142" s="66">
        <f>SUM(G142:I142)</f>
        <v>314</v>
      </c>
      <c r="N142" s="29"/>
      <c r="O142" s="6"/>
    </row>
    <row r="143" spans="1:15" ht="15.75">
      <c r="A143" s="28"/>
      <c r="B143" s="29" t="s">
        <v>100</v>
      </c>
      <c r="C143" s="29"/>
      <c r="D143" s="29"/>
      <c r="E143" s="29"/>
      <c r="F143" s="29"/>
      <c r="G143" s="29"/>
      <c r="H143" s="29"/>
      <c r="I143" s="86"/>
      <c r="J143" s="29"/>
      <c r="K143" s="29"/>
      <c r="L143" s="29"/>
      <c r="M143" s="66">
        <f>M98</f>
        <v>-314</v>
      </c>
      <c r="N143" s="29"/>
      <c r="O143" s="6"/>
    </row>
    <row r="144" spans="1:15" ht="15.75">
      <c r="A144" s="28"/>
      <c r="B144" s="29" t="s">
        <v>101</v>
      </c>
      <c r="C144" s="29"/>
      <c r="D144" s="29"/>
      <c r="E144" s="29"/>
      <c r="F144" s="29"/>
      <c r="G144" s="29"/>
      <c r="H144" s="29"/>
      <c r="I144" s="29"/>
      <c r="J144" s="29"/>
      <c r="K144" s="29"/>
      <c r="L144" s="29"/>
      <c r="M144" s="66">
        <f>M143+M142</f>
        <v>0</v>
      </c>
      <c r="N144" s="29"/>
      <c r="O144" s="6"/>
    </row>
    <row r="145" spans="1:15" ht="15.75">
      <c r="A145" s="28"/>
      <c r="B145" s="29"/>
      <c r="C145" s="29"/>
      <c r="D145" s="29"/>
      <c r="E145" s="29"/>
      <c r="F145" s="29"/>
      <c r="G145" s="29"/>
      <c r="H145" s="29"/>
      <c r="I145" s="29"/>
      <c r="J145" s="29"/>
      <c r="K145" s="29"/>
      <c r="L145" s="29"/>
      <c r="M145" s="82"/>
      <c r="N145" s="29"/>
      <c r="O145" s="6"/>
    </row>
    <row r="146" spans="1:15" ht="15.75">
      <c r="A146" s="7"/>
      <c r="B146" s="9"/>
      <c r="C146" s="9"/>
      <c r="D146" s="9"/>
      <c r="E146" s="9"/>
      <c r="F146" s="9"/>
      <c r="G146" s="9"/>
      <c r="H146" s="9"/>
      <c r="I146" s="9"/>
      <c r="J146" s="9"/>
      <c r="K146" s="9"/>
      <c r="L146" s="9"/>
      <c r="M146" s="64"/>
      <c r="N146" s="9"/>
      <c r="O146" s="6"/>
    </row>
    <row r="147" spans="1:15" ht="15.75">
      <c r="A147" s="7"/>
      <c r="B147" s="158" t="s">
        <v>102</v>
      </c>
      <c r="C147" s="15"/>
      <c r="D147" s="15"/>
      <c r="E147" s="9"/>
      <c r="F147" s="9"/>
      <c r="G147" s="9"/>
      <c r="H147" s="9"/>
      <c r="I147" s="9"/>
      <c r="J147" s="9"/>
      <c r="K147" s="9"/>
      <c r="L147" s="9"/>
      <c r="M147" s="64"/>
      <c r="N147" s="9"/>
      <c r="O147" s="6"/>
    </row>
    <row r="148" spans="1:15" ht="15.75">
      <c r="A148" s="28"/>
      <c r="B148" s="29" t="s">
        <v>103</v>
      </c>
      <c r="C148" s="87"/>
      <c r="D148" s="87"/>
      <c r="E148" s="29"/>
      <c r="F148" s="29"/>
      <c r="G148" s="29"/>
      <c r="H148" s="29"/>
      <c r="I148" s="29"/>
      <c r="J148" s="29"/>
      <c r="K148" s="29"/>
      <c r="L148" s="29"/>
      <c r="M148" s="66">
        <f>M68+M61</f>
        <v>174535</v>
      </c>
      <c r="N148" s="29"/>
      <c r="O148" s="6"/>
    </row>
    <row r="149" spans="1:15" ht="15.75">
      <c r="A149" s="28"/>
      <c r="B149" s="29" t="s">
        <v>104</v>
      </c>
      <c r="C149" s="87"/>
      <c r="D149" s="87"/>
      <c r="E149" s="29"/>
      <c r="F149" s="29"/>
      <c r="G149" s="29"/>
      <c r="H149" s="29"/>
      <c r="I149" s="29"/>
      <c r="J149" s="29"/>
      <c r="K149" s="29"/>
      <c r="L149" s="29"/>
      <c r="M149" s="66">
        <f>M72</f>
        <v>19623</v>
      </c>
      <c r="N149" s="29"/>
      <c r="O149" s="6"/>
    </row>
    <row r="150" spans="1:15" ht="15.75">
      <c r="A150" s="28"/>
      <c r="B150" s="29" t="s">
        <v>50</v>
      </c>
      <c r="C150" s="87"/>
      <c r="D150" s="87"/>
      <c r="E150" s="29"/>
      <c r="F150" s="29"/>
      <c r="G150" s="29"/>
      <c r="H150" s="29"/>
      <c r="I150" s="29"/>
      <c r="J150" s="29"/>
      <c r="K150" s="29"/>
      <c r="L150" s="29"/>
      <c r="M150" s="66">
        <f>M71</f>
        <v>2926</v>
      </c>
      <c r="N150" s="29"/>
      <c r="O150" s="6"/>
    </row>
    <row r="151" spans="1:15" ht="15.75">
      <c r="A151" s="28"/>
      <c r="B151" s="29" t="s">
        <v>105</v>
      </c>
      <c r="C151" s="87"/>
      <c r="D151" s="87"/>
      <c r="E151" s="29"/>
      <c r="F151" s="29"/>
      <c r="G151" s="29"/>
      <c r="H151" s="29"/>
      <c r="I151" s="29"/>
      <c r="J151" s="29"/>
      <c r="K151" s="29"/>
      <c r="L151" s="29"/>
      <c r="M151" s="66">
        <f>M74</f>
        <v>-95</v>
      </c>
      <c r="N151" s="29"/>
      <c r="O151" s="6"/>
    </row>
    <row r="152" spans="1:15" ht="15.75">
      <c r="A152" s="28"/>
      <c r="B152" s="29" t="s">
        <v>106</v>
      </c>
      <c r="C152" s="87"/>
      <c r="D152" s="87"/>
      <c r="E152" s="29"/>
      <c r="F152" s="29"/>
      <c r="G152" s="29"/>
      <c r="H152" s="29"/>
      <c r="I152" s="29"/>
      <c r="J152" s="29"/>
      <c r="K152" s="29"/>
      <c r="L152" s="29"/>
      <c r="M152" s="66">
        <f>M73</f>
        <v>935</v>
      </c>
      <c r="N152" s="29"/>
      <c r="O152" s="6"/>
    </row>
    <row r="153" spans="1:15" ht="15.75">
      <c r="A153" s="28"/>
      <c r="B153" s="29" t="s">
        <v>107</v>
      </c>
      <c r="C153" s="87"/>
      <c r="D153" s="87"/>
      <c r="E153" s="29"/>
      <c r="F153" s="29"/>
      <c r="G153" s="29"/>
      <c r="H153" s="29"/>
      <c r="I153" s="29"/>
      <c r="J153" s="29"/>
      <c r="K153" s="29"/>
      <c r="L153" s="29"/>
      <c r="M153" s="66">
        <f>SUM(M148:M152)</f>
        <v>197924</v>
      </c>
      <c r="N153" s="29"/>
      <c r="O153" s="6"/>
    </row>
    <row r="154" spans="1:15" ht="15.75">
      <c r="A154" s="28"/>
      <c r="B154" s="29" t="s">
        <v>108</v>
      </c>
      <c r="C154" s="87"/>
      <c r="D154" s="87"/>
      <c r="E154" s="29"/>
      <c r="F154" s="29"/>
      <c r="G154" s="29"/>
      <c r="H154" s="29"/>
      <c r="I154" s="29"/>
      <c r="J154" s="29"/>
      <c r="K154" s="29"/>
      <c r="L154" s="29"/>
      <c r="M154" s="66">
        <f>M30</f>
        <v>194998</v>
      </c>
      <c r="N154" s="29"/>
      <c r="O154" s="6"/>
    </row>
    <row r="155" spans="1:15" ht="15.75">
      <c r="A155" s="28"/>
      <c r="B155" s="29"/>
      <c r="C155" s="29"/>
      <c r="D155" s="29"/>
      <c r="E155" s="29"/>
      <c r="F155" s="29"/>
      <c r="G155" s="29"/>
      <c r="H155" s="29"/>
      <c r="I155" s="29"/>
      <c r="J155" s="29"/>
      <c r="K155" s="29"/>
      <c r="L155" s="29"/>
      <c r="M155" s="82"/>
      <c r="N155" s="29"/>
      <c r="O155" s="6"/>
    </row>
    <row r="156" spans="1:15" ht="15.75">
      <c r="A156" s="7"/>
      <c r="B156" s="9"/>
      <c r="C156" s="9"/>
      <c r="D156" s="9"/>
      <c r="E156" s="9"/>
      <c r="F156" s="9"/>
      <c r="G156" s="9"/>
      <c r="H156" s="9"/>
      <c r="I156" s="25"/>
      <c r="J156" s="9"/>
      <c r="K156" s="25"/>
      <c r="L156" s="9"/>
      <c r="M156" s="64"/>
      <c r="N156" s="9"/>
      <c r="O156" s="6"/>
    </row>
    <row r="157" spans="1:15" ht="15.75">
      <c r="A157" s="7"/>
      <c r="B157" s="158" t="s">
        <v>109</v>
      </c>
      <c r="C157" s="144"/>
      <c r="D157" s="144"/>
      <c r="E157" s="144"/>
      <c r="F157" s="144"/>
      <c r="G157" s="144"/>
      <c r="H157" s="144"/>
      <c r="I157" s="159" t="s">
        <v>205</v>
      </c>
      <c r="J157" s="159"/>
      <c r="K157" s="159" t="s">
        <v>210</v>
      </c>
      <c r="L157" s="144"/>
      <c r="M157" s="160" t="s">
        <v>192</v>
      </c>
      <c r="N157" s="161"/>
      <c r="O157" s="6"/>
    </row>
    <row r="158" spans="1:15" ht="15.75">
      <c r="A158" s="28"/>
      <c r="B158" s="29" t="s">
        <v>110</v>
      </c>
      <c r="C158" s="29"/>
      <c r="D158" s="29"/>
      <c r="E158" s="29"/>
      <c r="F158" s="29"/>
      <c r="G158" s="29"/>
      <c r="H158" s="29"/>
      <c r="I158" s="66"/>
      <c r="J158" s="29"/>
      <c r="K158" s="53"/>
      <c r="L158" s="29"/>
      <c r="M158" s="66"/>
      <c r="N158" s="29"/>
      <c r="O158" s="6"/>
    </row>
    <row r="159" spans="1:15" ht="15.75">
      <c r="A159" s="28"/>
      <c r="B159" s="29" t="s">
        <v>111</v>
      </c>
      <c r="C159" s="29"/>
      <c r="D159" s="29"/>
      <c r="E159" s="29"/>
      <c r="F159" s="29"/>
      <c r="G159" s="29"/>
      <c r="H159" s="29"/>
      <c r="I159" s="66"/>
      <c r="J159" s="29"/>
      <c r="K159" s="29"/>
      <c r="L159" s="29"/>
      <c r="M159" s="66" t="s">
        <v>224</v>
      </c>
      <c r="N159" s="29"/>
      <c r="O159" s="6"/>
    </row>
    <row r="160" spans="1:15" ht="15.75">
      <c r="A160" s="28"/>
      <c r="B160" s="29" t="s">
        <v>112</v>
      </c>
      <c r="C160" s="29"/>
      <c r="D160" s="29"/>
      <c r="E160" s="29"/>
      <c r="F160" s="29"/>
      <c r="G160" s="29"/>
      <c r="H160" s="29"/>
      <c r="I160" s="66"/>
      <c r="J160" s="29"/>
      <c r="K160" s="29"/>
      <c r="L160" s="29"/>
      <c r="M160" s="66" t="s">
        <v>224</v>
      </c>
      <c r="N160" s="29"/>
      <c r="O160" s="6"/>
    </row>
    <row r="161" spans="1:15" ht="15.75">
      <c r="A161" s="28"/>
      <c r="B161" s="29" t="s">
        <v>113</v>
      </c>
      <c r="C161" s="29"/>
      <c r="D161" s="29"/>
      <c r="E161" s="29"/>
      <c r="F161" s="29"/>
      <c r="G161" s="29"/>
      <c r="H161" s="29"/>
      <c r="I161" s="66"/>
      <c r="J161" s="29"/>
      <c r="K161" s="66"/>
      <c r="L161" s="29"/>
      <c r="M161" s="66" t="s">
        <v>224</v>
      </c>
      <c r="N161" s="29"/>
      <c r="O161" s="6"/>
    </row>
    <row r="162" spans="1:15" ht="15.75">
      <c r="A162" s="28"/>
      <c r="B162" s="29" t="s">
        <v>114</v>
      </c>
      <c r="C162" s="29"/>
      <c r="D162" s="29"/>
      <c r="E162" s="29"/>
      <c r="F162" s="29"/>
      <c r="G162" s="29"/>
      <c r="H162" s="29"/>
      <c r="I162" s="66"/>
      <c r="J162" s="29"/>
      <c r="K162" s="53"/>
      <c r="L162" s="29"/>
      <c r="M162" s="66"/>
      <c r="N162" s="29"/>
      <c r="O162" s="6"/>
    </row>
    <row r="163" spans="1:15" ht="15.75">
      <c r="A163" s="28"/>
      <c r="B163" s="29"/>
      <c r="C163" s="29"/>
      <c r="D163" s="29"/>
      <c r="E163" s="29"/>
      <c r="F163" s="29"/>
      <c r="G163" s="29"/>
      <c r="H163" s="29"/>
      <c r="I163" s="29"/>
      <c r="J163" s="29"/>
      <c r="K163" s="29"/>
      <c r="L163" s="29"/>
      <c r="M163" s="82"/>
      <c r="N163" s="29"/>
      <c r="O163" s="6"/>
    </row>
    <row r="164" spans="1:15" ht="15.75">
      <c r="A164" s="7"/>
      <c r="B164" s="9"/>
      <c r="C164" s="9"/>
      <c r="D164" s="9"/>
      <c r="E164" s="9"/>
      <c r="F164" s="9"/>
      <c r="G164" s="9"/>
      <c r="H164" s="9"/>
      <c r="I164" s="9"/>
      <c r="J164" s="9"/>
      <c r="K164" s="9"/>
      <c r="L164" s="9"/>
      <c r="M164" s="64"/>
      <c r="N164" s="9"/>
      <c r="O164" s="6"/>
    </row>
    <row r="165" spans="1:15" ht="15.75">
      <c r="A165" s="7"/>
      <c r="B165" s="158" t="s">
        <v>115</v>
      </c>
      <c r="C165" s="15"/>
      <c r="D165" s="15"/>
      <c r="E165" s="9"/>
      <c r="F165" s="9"/>
      <c r="G165" s="9"/>
      <c r="H165" s="9"/>
      <c r="I165" s="9"/>
      <c r="J165" s="9"/>
      <c r="K165" s="9"/>
      <c r="L165" s="9"/>
      <c r="M165" s="88"/>
      <c r="N165" s="9"/>
      <c r="O165" s="6"/>
    </row>
    <row r="166" spans="1:15" ht="15.75">
      <c r="A166" s="28"/>
      <c r="B166" s="29" t="s">
        <v>116</v>
      </c>
      <c r="C166" s="29"/>
      <c r="D166" s="29"/>
      <c r="E166" s="29"/>
      <c r="F166" s="29"/>
      <c r="G166" s="29"/>
      <c r="H166" s="29"/>
      <c r="I166" s="29"/>
      <c r="J166" s="29"/>
      <c r="K166" s="29"/>
      <c r="L166" s="29"/>
      <c r="M166" s="73">
        <f>(M88+M90+M91+M93)/-M92</f>
        <v>2.9425541316836057</v>
      </c>
      <c r="N166" s="29" t="s">
        <v>225</v>
      </c>
      <c r="O166" s="6"/>
    </row>
    <row r="167" spans="1:15" ht="15.75">
      <c r="A167" s="28"/>
      <c r="B167" s="29" t="s">
        <v>117</v>
      </c>
      <c r="C167" s="29"/>
      <c r="D167" s="29"/>
      <c r="E167" s="29"/>
      <c r="F167" s="29"/>
      <c r="G167" s="29"/>
      <c r="H167" s="29"/>
      <c r="I167" s="29"/>
      <c r="J167" s="29"/>
      <c r="K167" s="29"/>
      <c r="L167" s="29"/>
      <c r="M167" s="89">
        <v>2.35</v>
      </c>
      <c r="N167" s="29" t="s">
        <v>225</v>
      </c>
      <c r="O167" s="6"/>
    </row>
    <row r="168" spans="1:15" ht="15.75">
      <c r="A168" s="28"/>
      <c r="B168" s="29" t="s">
        <v>118</v>
      </c>
      <c r="C168" s="29"/>
      <c r="D168" s="29"/>
      <c r="E168" s="29"/>
      <c r="F168" s="29"/>
      <c r="G168" s="29"/>
      <c r="H168" s="29"/>
      <c r="I168" s="29"/>
      <c r="J168" s="29"/>
      <c r="K168" s="29"/>
      <c r="L168" s="29"/>
      <c r="M168" s="73">
        <f>(M88+M90+M91+M92+M93+M94)/-M95</f>
        <v>18.304166666666667</v>
      </c>
      <c r="N168" s="29" t="s">
        <v>225</v>
      </c>
      <c r="O168" s="6"/>
    </row>
    <row r="169" spans="1:15" ht="15.75">
      <c r="A169" s="28"/>
      <c r="B169" s="29" t="s">
        <v>119</v>
      </c>
      <c r="C169" s="29"/>
      <c r="D169" s="29"/>
      <c r="E169" s="29"/>
      <c r="F169" s="29"/>
      <c r="G169" s="29"/>
      <c r="H169" s="29"/>
      <c r="I169" s="29"/>
      <c r="J169" s="29"/>
      <c r="K169" s="29"/>
      <c r="L169" s="29"/>
      <c r="M169" s="90">
        <v>12.77</v>
      </c>
      <c r="N169" s="29" t="s">
        <v>225</v>
      </c>
      <c r="O169" s="6"/>
    </row>
    <row r="170" spans="1:15" ht="15.75">
      <c r="A170" s="28"/>
      <c r="B170" s="29" t="s">
        <v>120</v>
      </c>
      <c r="C170" s="29"/>
      <c r="D170" s="29"/>
      <c r="E170" s="29"/>
      <c r="F170" s="29"/>
      <c r="G170" s="29"/>
      <c r="H170" s="29"/>
      <c r="I170" s="29"/>
      <c r="J170" s="29"/>
      <c r="K170" s="29"/>
      <c r="L170" s="29"/>
      <c r="M170" s="73">
        <f>(M88+M90+M91+M92+M93+M94+M95)/-M96</f>
        <v>25.018072289156628</v>
      </c>
      <c r="N170" s="29" t="s">
        <v>225</v>
      </c>
      <c r="O170" s="6"/>
    </row>
    <row r="171" spans="1:15" ht="15.75">
      <c r="A171" s="28"/>
      <c r="B171" s="29" t="s">
        <v>121</v>
      </c>
      <c r="C171" s="29"/>
      <c r="D171" s="29"/>
      <c r="E171" s="29"/>
      <c r="F171" s="29"/>
      <c r="G171" s="29"/>
      <c r="H171" s="29"/>
      <c r="I171" s="29"/>
      <c r="J171" s="29"/>
      <c r="K171" s="29"/>
      <c r="L171" s="29"/>
      <c r="M171" s="89">
        <v>17.27</v>
      </c>
      <c r="N171" s="29" t="s">
        <v>225</v>
      </c>
      <c r="O171" s="6"/>
    </row>
    <row r="172" spans="1:15" ht="15.75">
      <c r="A172" s="28"/>
      <c r="B172" s="29"/>
      <c r="C172" s="29"/>
      <c r="D172" s="29"/>
      <c r="E172" s="29"/>
      <c r="F172" s="29"/>
      <c r="G172" s="29"/>
      <c r="H172" s="29"/>
      <c r="I172" s="29"/>
      <c r="J172" s="29"/>
      <c r="K172" s="29"/>
      <c r="L172" s="29"/>
      <c r="M172" s="29"/>
      <c r="N172" s="29"/>
      <c r="O172" s="6"/>
    </row>
    <row r="173" spans="1:15" ht="15.75">
      <c r="A173" s="7"/>
      <c r="B173" s="9"/>
      <c r="C173" s="9"/>
      <c r="D173" s="9"/>
      <c r="E173" s="9"/>
      <c r="F173" s="9"/>
      <c r="G173" s="9"/>
      <c r="H173" s="9"/>
      <c r="I173" s="9"/>
      <c r="J173" s="9"/>
      <c r="K173" s="9"/>
      <c r="L173" s="9"/>
      <c r="M173" s="9"/>
      <c r="N173" s="9"/>
      <c r="O173" s="6"/>
    </row>
    <row r="174" spans="1:15" ht="16.5" thickBot="1">
      <c r="A174" s="134"/>
      <c r="B174" s="135" t="s">
        <v>230</v>
      </c>
      <c r="C174" s="136"/>
      <c r="D174" s="136"/>
      <c r="E174" s="136"/>
      <c r="F174" s="136"/>
      <c r="G174" s="136"/>
      <c r="H174" s="136"/>
      <c r="I174" s="136"/>
      <c r="J174" s="136"/>
      <c r="K174" s="136"/>
      <c r="L174" s="136"/>
      <c r="M174" s="136"/>
      <c r="N174" s="138"/>
      <c r="O174" s="6"/>
    </row>
    <row r="175" spans="1:15" ht="15.75">
      <c r="A175" s="2"/>
      <c r="B175" s="91"/>
      <c r="C175" s="91"/>
      <c r="D175" s="91"/>
      <c r="E175" s="91"/>
      <c r="F175" s="91"/>
      <c r="G175" s="91"/>
      <c r="H175" s="91"/>
      <c r="I175" s="91"/>
      <c r="J175" s="91"/>
      <c r="K175" s="91"/>
      <c r="L175" s="91"/>
      <c r="M175" s="91"/>
      <c r="N175" s="91"/>
      <c r="O175" s="6"/>
    </row>
    <row r="176" spans="1:15" ht="15.75">
      <c r="A176" s="92"/>
      <c r="B176" s="63" t="s">
        <v>122</v>
      </c>
      <c r="C176" s="93"/>
      <c r="D176" s="93"/>
      <c r="E176" s="93" t="s">
        <v>178</v>
      </c>
      <c r="F176" s="93"/>
      <c r="G176" s="94" t="s">
        <v>181</v>
      </c>
      <c r="H176" s="94"/>
      <c r="I176" s="94"/>
      <c r="J176" s="22"/>
      <c r="K176" s="22">
        <v>37195</v>
      </c>
      <c r="L176" s="18"/>
      <c r="M176" s="18"/>
      <c r="N176" s="9"/>
      <c r="O176" s="6"/>
    </row>
    <row r="177" spans="1:15" ht="15.75">
      <c r="A177" s="95"/>
      <c r="B177" s="74" t="s">
        <v>123</v>
      </c>
      <c r="C177" s="96"/>
      <c r="D177" s="96"/>
      <c r="E177" s="97">
        <v>0.12505</v>
      </c>
      <c r="F177" s="96"/>
      <c r="G177" s="97">
        <v>0.13752</v>
      </c>
      <c r="H177" s="86"/>
      <c r="I177" s="86"/>
      <c r="J177" s="86"/>
      <c r="K177" s="97">
        <v>0.13157</v>
      </c>
      <c r="L177" s="29"/>
      <c r="M177" s="29"/>
      <c r="N177" s="29"/>
      <c r="O177" s="6"/>
    </row>
    <row r="178" spans="1:15" ht="15.75">
      <c r="A178" s="95"/>
      <c r="B178" s="74" t="s">
        <v>124</v>
      </c>
      <c r="C178" s="96"/>
      <c r="D178" s="96"/>
      <c r="E178" s="97"/>
      <c r="F178" s="96"/>
      <c r="G178" s="97"/>
      <c r="H178" s="86"/>
      <c r="I178" s="86"/>
      <c r="J178" s="86"/>
      <c r="K178" s="97">
        <v>0.0654</v>
      </c>
      <c r="L178" s="97"/>
      <c r="M178" s="29"/>
      <c r="N178" s="29"/>
      <c r="O178" s="6"/>
    </row>
    <row r="179" spans="1:15" ht="15.75">
      <c r="A179" s="95"/>
      <c r="B179" s="74" t="s">
        <v>125</v>
      </c>
      <c r="C179" s="96"/>
      <c r="D179" s="96"/>
      <c r="E179" s="96"/>
      <c r="F179" s="96"/>
      <c r="G179" s="96"/>
      <c r="H179" s="86"/>
      <c r="I179" s="86"/>
      <c r="J179" s="86"/>
      <c r="K179" s="97">
        <f>K177-K178</f>
        <v>0.06616999999999999</v>
      </c>
      <c r="L179" s="29"/>
      <c r="M179" s="29"/>
      <c r="N179" s="29"/>
      <c r="O179" s="6"/>
    </row>
    <row r="180" spans="1:15" ht="15.75">
      <c r="A180" s="95"/>
      <c r="B180" s="74" t="s">
        <v>126</v>
      </c>
      <c r="C180" s="96"/>
      <c r="D180" s="96"/>
      <c r="E180" s="98">
        <v>0.1219</v>
      </c>
      <c r="F180" s="98"/>
      <c r="G180" s="98">
        <v>0.1317</v>
      </c>
      <c r="H180" s="86"/>
      <c r="I180" s="86"/>
      <c r="J180" s="86"/>
      <c r="K180" s="97">
        <v>0.12725</v>
      </c>
      <c r="L180" s="29"/>
      <c r="M180" s="29"/>
      <c r="N180" s="29"/>
      <c r="O180" s="6"/>
    </row>
    <row r="181" spans="1:15" ht="15.75">
      <c r="A181" s="95"/>
      <c r="B181" s="74" t="s">
        <v>127</v>
      </c>
      <c r="C181" s="96"/>
      <c r="D181" s="96"/>
      <c r="E181" s="96"/>
      <c r="F181" s="96"/>
      <c r="G181" s="96"/>
      <c r="H181" s="86"/>
      <c r="I181" s="86"/>
      <c r="J181" s="86"/>
      <c r="K181" s="97">
        <f>M32</f>
        <v>0.05431136998841014</v>
      </c>
      <c r="L181" s="29"/>
      <c r="M181" s="29"/>
      <c r="N181" s="29"/>
      <c r="O181" s="6"/>
    </row>
    <row r="182" spans="1:15" ht="15.75">
      <c r="A182" s="95"/>
      <c r="B182" s="74" t="s">
        <v>128</v>
      </c>
      <c r="C182" s="96"/>
      <c r="D182" s="96"/>
      <c r="E182" s="96"/>
      <c r="F182" s="96"/>
      <c r="G182" s="96"/>
      <c r="H182" s="86"/>
      <c r="I182" s="86"/>
      <c r="J182" s="86"/>
      <c r="K182" s="97">
        <f>K180-K181</f>
        <v>0.07293863001158987</v>
      </c>
      <c r="L182" s="29"/>
      <c r="M182" s="29"/>
      <c r="N182" s="29"/>
      <c r="O182" s="6"/>
    </row>
    <row r="183" spans="1:15" ht="15.75">
      <c r="A183" s="95"/>
      <c r="B183" s="74" t="s">
        <v>129</v>
      </c>
      <c r="C183" s="96"/>
      <c r="D183" s="96"/>
      <c r="E183" s="96"/>
      <c r="F183" s="96"/>
      <c r="G183" s="96"/>
      <c r="H183" s="86"/>
      <c r="I183" s="86"/>
      <c r="J183" s="86"/>
      <c r="K183" s="97" t="s">
        <v>211</v>
      </c>
      <c r="L183" s="29"/>
      <c r="M183" s="29"/>
      <c r="N183" s="29"/>
      <c r="O183" s="6"/>
    </row>
    <row r="184" spans="1:15" ht="15.75">
      <c r="A184" s="95"/>
      <c r="B184" s="74" t="s">
        <v>130</v>
      </c>
      <c r="C184" s="96"/>
      <c r="D184" s="96"/>
      <c r="E184" s="96"/>
      <c r="F184" s="96"/>
      <c r="G184" s="96"/>
      <c r="H184" s="86"/>
      <c r="I184" s="86"/>
      <c r="J184" s="86"/>
      <c r="K184" s="97" t="s">
        <v>212</v>
      </c>
      <c r="L184" s="29"/>
      <c r="M184" s="29"/>
      <c r="N184" s="29"/>
      <c r="O184" s="6"/>
    </row>
    <row r="185" spans="1:15" ht="15.75">
      <c r="A185" s="95"/>
      <c r="B185" s="74" t="s">
        <v>131</v>
      </c>
      <c r="C185" s="96"/>
      <c r="D185" s="96"/>
      <c r="E185" s="99">
        <v>9.94</v>
      </c>
      <c r="F185" s="96"/>
      <c r="G185" s="99">
        <v>3.91</v>
      </c>
      <c r="H185" s="86"/>
      <c r="I185" s="86"/>
      <c r="J185" s="86"/>
      <c r="K185" s="100">
        <v>6.791</v>
      </c>
      <c r="L185" s="29"/>
      <c r="M185" s="29"/>
      <c r="N185" s="29"/>
      <c r="O185" s="6"/>
    </row>
    <row r="186" spans="1:15" ht="15.75">
      <c r="A186" s="95"/>
      <c r="B186" s="74" t="s">
        <v>132</v>
      </c>
      <c r="C186" s="96"/>
      <c r="D186" s="96"/>
      <c r="E186" s="101">
        <v>9.82</v>
      </c>
      <c r="F186" s="99"/>
      <c r="G186" s="99">
        <v>3.38</v>
      </c>
      <c r="H186" s="86"/>
      <c r="I186" s="86"/>
      <c r="J186" s="86"/>
      <c r="K186" s="100">
        <v>6.31</v>
      </c>
      <c r="L186" s="29"/>
      <c r="M186" s="29"/>
      <c r="N186" s="29"/>
      <c r="O186" s="6"/>
    </row>
    <row r="187" spans="1:15" ht="15.75">
      <c r="A187" s="95"/>
      <c r="B187" s="74" t="s">
        <v>231</v>
      </c>
      <c r="C187" s="96"/>
      <c r="D187" s="96"/>
      <c r="E187" s="101"/>
      <c r="F187" s="99"/>
      <c r="G187" s="99"/>
      <c r="H187" s="86"/>
      <c r="I187" s="86"/>
      <c r="J187" s="86"/>
      <c r="K187" s="97">
        <v>0.0565</v>
      </c>
      <c r="L187" s="29"/>
      <c r="M187" s="29"/>
      <c r="N187" s="29"/>
      <c r="O187" s="6"/>
    </row>
    <row r="188" spans="1:15" ht="15.75">
      <c r="A188" s="95"/>
      <c r="B188" s="74" t="s">
        <v>232</v>
      </c>
      <c r="C188" s="96"/>
      <c r="D188" s="96"/>
      <c r="E188" s="101"/>
      <c r="F188" s="99"/>
      <c r="G188" s="99"/>
      <c r="H188" s="86"/>
      <c r="I188" s="86"/>
      <c r="J188" s="86"/>
      <c r="K188" s="97">
        <v>0.181</v>
      </c>
      <c r="L188" s="29"/>
      <c r="M188" s="29"/>
      <c r="N188" s="29"/>
      <c r="O188" s="6"/>
    </row>
    <row r="189" spans="1:15" ht="15.75">
      <c r="A189" s="95"/>
      <c r="B189" s="74" t="s">
        <v>233</v>
      </c>
      <c r="C189" s="96"/>
      <c r="D189" s="96"/>
      <c r="E189" s="101"/>
      <c r="F189" s="99"/>
      <c r="G189" s="99"/>
      <c r="H189" s="86"/>
      <c r="I189" s="86"/>
      <c r="J189" s="86"/>
      <c r="K189" s="97">
        <v>0.0959</v>
      </c>
      <c r="L189" s="29"/>
      <c r="M189" s="29"/>
      <c r="N189" s="29"/>
      <c r="O189" s="6"/>
    </row>
    <row r="190" spans="1:15" ht="15.75">
      <c r="A190" s="95"/>
      <c r="B190" s="74" t="s">
        <v>234</v>
      </c>
      <c r="C190" s="96"/>
      <c r="D190" s="96"/>
      <c r="E190" s="101"/>
      <c r="F190" s="99"/>
      <c r="G190" s="99"/>
      <c r="H190" s="86"/>
      <c r="I190" s="86"/>
      <c r="J190" s="86"/>
      <c r="K190" s="97">
        <v>0.2672</v>
      </c>
      <c r="L190" s="29"/>
      <c r="M190" s="29"/>
      <c r="N190" s="29"/>
      <c r="O190" s="6"/>
    </row>
    <row r="191" spans="1:15" ht="15.75">
      <c r="A191" s="95"/>
      <c r="B191" s="74"/>
      <c r="C191" s="74"/>
      <c r="D191" s="74"/>
      <c r="E191" s="74"/>
      <c r="F191" s="74"/>
      <c r="G191" s="74"/>
      <c r="H191" s="29"/>
      <c r="I191" s="29"/>
      <c r="J191" s="37"/>
      <c r="K191" s="102"/>
      <c r="L191" s="29"/>
      <c r="M191" s="103"/>
      <c r="N191" s="29"/>
      <c r="O191" s="6"/>
    </row>
    <row r="192" spans="1:15" ht="15.75">
      <c r="A192" s="104"/>
      <c r="B192" s="17" t="s">
        <v>134</v>
      </c>
      <c r="C192" s="20"/>
      <c r="D192" s="20"/>
      <c r="E192" s="105"/>
      <c r="F192" s="20"/>
      <c r="G192" s="105"/>
      <c r="H192" s="20"/>
      <c r="I192" s="105"/>
      <c r="J192" s="20" t="s">
        <v>206</v>
      </c>
      <c r="K192" s="105" t="s">
        <v>213</v>
      </c>
      <c r="L192" s="18"/>
      <c r="M192" s="18"/>
      <c r="N192" s="9"/>
      <c r="O192" s="6"/>
    </row>
    <row r="193" spans="1:15" ht="15.75">
      <c r="A193" s="106"/>
      <c r="B193" s="74" t="s">
        <v>135</v>
      </c>
      <c r="C193" s="67"/>
      <c r="D193" s="67"/>
      <c r="E193" s="67"/>
      <c r="F193" s="67"/>
      <c r="G193" s="29"/>
      <c r="H193" s="29"/>
      <c r="I193" s="29"/>
      <c r="J193" s="29">
        <v>68</v>
      </c>
      <c r="K193" s="66">
        <v>417</v>
      </c>
      <c r="L193" s="66"/>
      <c r="M193" s="103"/>
      <c r="N193" s="107"/>
      <c r="O193" s="6"/>
    </row>
    <row r="194" spans="1:15" ht="15.75">
      <c r="A194" s="106"/>
      <c r="B194" s="74" t="s">
        <v>136</v>
      </c>
      <c r="C194" s="67"/>
      <c r="D194" s="67"/>
      <c r="E194" s="67"/>
      <c r="F194" s="67"/>
      <c r="G194" s="29"/>
      <c r="H194" s="29"/>
      <c r="I194" s="29"/>
      <c r="J194" s="29">
        <v>17</v>
      </c>
      <c r="K194" s="66">
        <v>147</v>
      </c>
      <c r="L194" s="66"/>
      <c r="M194" s="103"/>
      <c r="N194" s="107"/>
      <c r="O194" s="6"/>
    </row>
    <row r="195" spans="1:15" ht="15.75">
      <c r="A195" s="106"/>
      <c r="B195" s="74"/>
      <c r="C195" s="67"/>
      <c r="D195" s="67"/>
      <c r="E195" s="67"/>
      <c r="F195" s="67"/>
      <c r="G195" s="29"/>
      <c r="H195" s="29"/>
      <c r="I195" s="29"/>
      <c r="J195" s="29"/>
      <c r="K195" s="66"/>
      <c r="L195" s="66"/>
      <c r="M195" s="103"/>
      <c r="N195" s="107"/>
      <c r="O195" s="6"/>
    </row>
    <row r="196" spans="1:15" ht="15.75">
      <c r="A196" s="106"/>
      <c r="B196" s="74" t="s">
        <v>137</v>
      </c>
      <c r="C196" s="67"/>
      <c r="D196" s="67"/>
      <c r="E196" s="67"/>
      <c r="F196" s="67"/>
      <c r="G196" s="29"/>
      <c r="H196" s="29"/>
      <c r="I196" s="29"/>
      <c r="J196" s="29">
        <v>69</v>
      </c>
      <c r="K196" s="66">
        <v>992</v>
      </c>
      <c r="L196" s="66"/>
      <c r="M196" s="103"/>
      <c r="N196" s="107"/>
      <c r="O196" s="6"/>
    </row>
    <row r="197" spans="1:15" ht="15.75">
      <c r="A197" s="106"/>
      <c r="B197" s="74" t="s">
        <v>138</v>
      </c>
      <c r="C197" s="67"/>
      <c r="D197" s="67"/>
      <c r="E197" s="67"/>
      <c r="F197" s="67"/>
      <c r="G197" s="29"/>
      <c r="H197" s="29"/>
      <c r="I197" s="29"/>
      <c r="J197" s="29">
        <v>0</v>
      </c>
      <c r="K197" s="66">
        <v>0</v>
      </c>
      <c r="L197" s="66"/>
      <c r="M197" s="103"/>
      <c r="N197" s="107"/>
      <c r="O197" s="6"/>
    </row>
    <row r="198" spans="1:15" ht="15.75">
      <c r="A198" s="106"/>
      <c r="B198" s="74"/>
      <c r="C198" s="67"/>
      <c r="D198" s="67"/>
      <c r="E198" s="67"/>
      <c r="F198" s="67"/>
      <c r="G198" s="29"/>
      <c r="H198" s="29"/>
      <c r="I198" s="29"/>
      <c r="J198" s="29"/>
      <c r="K198" s="66"/>
      <c r="L198" s="66"/>
      <c r="M198" s="103"/>
      <c r="N198" s="107"/>
      <c r="O198" s="6"/>
    </row>
    <row r="199" spans="1:15" ht="15.75">
      <c r="A199" s="106"/>
      <c r="B199" s="162" t="s">
        <v>139</v>
      </c>
      <c r="C199" s="67"/>
      <c r="D199" s="67"/>
      <c r="E199" s="67"/>
      <c r="F199" s="67"/>
      <c r="G199" s="29"/>
      <c r="H199" s="29"/>
      <c r="I199" s="29"/>
      <c r="J199" s="29"/>
      <c r="K199" s="73" t="s">
        <v>214</v>
      </c>
      <c r="L199" s="29"/>
      <c r="M199" s="103"/>
      <c r="N199" s="107"/>
      <c r="O199" s="6"/>
    </row>
    <row r="200" spans="1:15" ht="15.75">
      <c r="A200" s="106"/>
      <c r="B200" s="162" t="s">
        <v>140</v>
      </c>
      <c r="C200" s="67"/>
      <c r="D200" s="67"/>
      <c r="E200" s="67"/>
      <c r="F200" s="67"/>
      <c r="G200" s="29"/>
      <c r="H200" s="29"/>
      <c r="I200" s="29"/>
      <c r="J200" s="29"/>
      <c r="K200" s="66">
        <f>-I72</f>
        <v>21833</v>
      </c>
      <c r="L200" s="29"/>
      <c r="M200" s="103"/>
      <c r="N200" s="107"/>
      <c r="O200" s="6"/>
    </row>
    <row r="201" spans="1:15" ht="15.75">
      <c r="A201" s="108"/>
      <c r="B201" s="162" t="s">
        <v>141</v>
      </c>
      <c r="C201" s="67"/>
      <c r="D201" s="67"/>
      <c r="E201" s="74"/>
      <c r="F201" s="74"/>
      <c r="G201" s="74"/>
      <c r="H201" s="29"/>
      <c r="I201" s="29"/>
      <c r="J201" s="29"/>
      <c r="K201" s="73"/>
      <c r="L201" s="29"/>
      <c r="M201" s="103"/>
      <c r="N201" s="109"/>
      <c r="O201" s="6"/>
    </row>
    <row r="202" spans="1:15" ht="15.75">
      <c r="A202" s="108"/>
      <c r="B202" s="74" t="s">
        <v>142</v>
      </c>
      <c r="C202" s="67"/>
      <c r="D202" s="67"/>
      <c r="E202" s="74"/>
      <c r="F202" s="74"/>
      <c r="G202" s="74"/>
      <c r="H202" s="29"/>
      <c r="I202" s="29"/>
      <c r="J202" s="29"/>
      <c r="K202" s="89">
        <v>238</v>
      </c>
      <c r="L202" s="29"/>
      <c r="M202" s="103"/>
      <c r="N202" s="109"/>
      <c r="O202" s="6"/>
    </row>
    <row r="203" spans="1:15" ht="15.75">
      <c r="A203" s="108"/>
      <c r="B203" s="74" t="s">
        <v>143</v>
      </c>
      <c r="C203" s="67"/>
      <c r="D203" s="67"/>
      <c r="E203" s="74"/>
      <c r="F203" s="74"/>
      <c r="G203" s="74"/>
      <c r="H203" s="29"/>
      <c r="I203" s="29"/>
      <c r="J203" s="29"/>
      <c r="K203" s="89">
        <v>827</v>
      </c>
      <c r="L203" s="29"/>
      <c r="M203" s="103"/>
      <c r="N203" s="109"/>
      <c r="O203" s="6"/>
    </row>
    <row r="204" spans="1:15" ht="15.75">
      <c r="A204" s="108"/>
      <c r="B204" s="74" t="s">
        <v>144</v>
      </c>
      <c r="C204" s="67"/>
      <c r="D204" s="67"/>
      <c r="E204" s="74"/>
      <c r="F204" s="74"/>
      <c r="G204" s="74"/>
      <c r="H204" s="29"/>
      <c r="I204" s="29"/>
      <c r="J204" s="29"/>
      <c r="K204" s="89">
        <f>39+13</f>
        <v>52</v>
      </c>
      <c r="L204" s="29"/>
      <c r="M204" s="103"/>
      <c r="N204" s="109"/>
      <c r="O204" s="6"/>
    </row>
    <row r="205" spans="1:15" ht="15.75">
      <c r="A205" s="108"/>
      <c r="B205" s="74"/>
      <c r="C205" s="67"/>
      <c r="D205" s="67"/>
      <c r="E205" s="74"/>
      <c r="F205" s="74"/>
      <c r="G205" s="74"/>
      <c r="H205" s="29"/>
      <c r="I205" s="29"/>
      <c r="J205" s="29"/>
      <c r="K205" s="89"/>
      <c r="L205" s="29"/>
      <c r="M205" s="103"/>
      <c r="N205" s="109"/>
      <c r="O205" s="6"/>
    </row>
    <row r="206" spans="1:15" ht="15.75">
      <c r="A206" s="106"/>
      <c r="B206" s="74" t="s">
        <v>145</v>
      </c>
      <c r="C206" s="67"/>
      <c r="D206" s="67"/>
      <c r="E206" s="67"/>
      <c r="F206" s="67"/>
      <c r="G206" s="67"/>
      <c r="H206" s="29"/>
      <c r="I206" s="29"/>
      <c r="J206" s="29"/>
      <c r="K206" s="66">
        <v>76</v>
      </c>
      <c r="L206" s="29"/>
      <c r="M206" s="103"/>
      <c r="N206" s="109"/>
      <c r="O206" s="6"/>
    </row>
    <row r="207" spans="1:15" ht="15.75">
      <c r="A207" s="106"/>
      <c r="B207" s="74" t="s">
        <v>146</v>
      </c>
      <c r="C207" s="67"/>
      <c r="D207" s="67"/>
      <c r="E207" s="67"/>
      <c r="F207" s="67"/>
      <c r="G207" s="67"/>
      <c r="H207" s="29"/>
      <c r="I207" s="29"/>
      <c r="J207" s="29"/>
      <c r="K207" s="66">
        <v>108</v>
      </c>
      <c r="L207" s="29"/>
      <c r="M207" s="103"/>
      <c r="N207" s="109"/>
      <c r="O207" s="6"/>
    </row>
    <row r="208" spans="1:15" ht="15.75">
      <c r="A208" s="106"/>
      <c r="B208" s="74" t="s">
        <v>144</v>
      </c>
      <c r="C208" s="67"/>
      <c r="D208" s="67"/>
      <c r="E208" s="67"/>
      <c r="F208" s="67"/>
      <c r="G208" s="67"/>
      <c r="H208" s="29"/>
      <c r="I208" s="29"/>
      <c r="J208" s="29"/>
      <c r="K208" s="66"/>
      <c r="L208" s="29"/>
      <c r="M208" s="103"/>
      <c r="N208" s="109"/>
      <c r="O208" s="6"/>
    </row>
    <row r="209" spans="1:15" ht="15.75">
      <c r="A209" s="106"/>
      <c r="B209" s="74"/>
      <c r="C209" s="67"/>
      <c r="D209" s="67"/>
      <c r="E209" s="67"/>
      <c r="F209" s="67"/>
      <c r="G209" s="67"/>
      <c r="H209" s="29"/>
      <c r="I209" s="29"/>
      <c r="J209" s="29"/>
      <c r="K209" s="66"/>
      <c r="L209" s="29"/>
      <c r="M209" s="103"/>
      <c r="N209" s="109"/>
      <c r="O209" s="6"/>
    </row>
    <row r="210" spans="1:15" ht="15.75">
      <c r="A210" s="108"/>
      <c r="B210" s="162" t="s">
        <v>147</v>
      </c>
      <c r="C210" s="67"/>
      <c r="D210" s="67"/>
      <c r="E210" s="74"/>
      <c r="F210" s="74"/>
      <c r="G210" s="74"/>
      <c r="H210" s="29"/>
      <c r="I210" s="29"/>
      <c r="J210" s="29"/>
      <c r="K210" s="110"/>
      <c r="L210" s="29"/>
      <c r="M210" s="103"/>
      <c r="N210" s="109"/>
      <c r="O210" s="6"/>
    </row>
    <row r="211" spans="1:15" ht="15.75">
      <c r="A211" s="108"/>
      <c r="B211" s="74" t="s">
        <v>148</v>
      </c>
      <c r="C211" s="67"/>
      <c r="D211" s="67"/>
      <c r="E211" s="74"/>
      <c r="F211" s="74"/>
      <c r="G211" s="74"/>
      <c r="H211" s="29"/>
      <c r="I211" s="29"/>
      <c r="J211" s="29"/>
      <c r="K211" s="110">
        <v>0</v>
      </c>
      <c r="L211" s="29"/>
      <c r="M211" s="103"/>
      <c r="N211" s="109"/>
      <c r="O211" s="6"/>
    </row>
    <row r="212" spans="1:15" ht="15.75">
      <c r="A212" s="106"/>
      <c r="B212" s="74" t="s">
        <v>149</v>
      </c>
      <c r="C212" s="67"/>
      <c r="D212" s="67"/>
      <c r="E212" s="111"/>
      <c r="F212" s="111"/>
      <c r="G212" s="112"/>
      <c r="H212" s="29"/>
      <c r="I212" s="29"/>
      <c r="J212" s="29"/>
      <c r="K212" s="110">
        <v>0</v>
      </c>
      <c r="L212" s="29"/>
      <c r="M212" s="103"/>
      <c r="N212" s="109"/>
      <c r="O212" s="6"/>
    </row>
    <row r="213" spans="1:15" ht="15.75">
      <c r="A213" s="106"/>
      <c r="B213" s="74" t="s">
        <v>150</v>
      </c>
      <c r="C213" s="67"/>
      <c r="D213" s="67"/>
      <c r="E213" s="111"/>
      <c r="F213" s="111"/>
      <c r="G213" s="112"/>
      <c r="H213" s="29"/>
      <c r="I213" s="29"/>
      <c r="J213" s="29"/>
      <c r="K213" s="110">
        <v>0</v>
      </c>
      <c r="L213" s="29"/>
      <c r="M213" s="103"/>
      <c r="N213" s="109"/>
      <c r="O213" s="6"/>
    </row>
    <row r="214" spans="1:15" ht="15.75">
      <c r="A214" s="106"/>
      <c r="B214" s="74" t="s">
        <v>151</v>
      </c>
      <c r="C214" s="67"/>
      <c r="D214" s="67"/>
      <c r="E214" s="113"/>
      <c r="F214" s="111"/>
      <c r="G214" s="112"/>
      <c r="H214" s="29"/>
      <c r="I214" s="29"/>
      <c r="J214" s="29"/>
      <c r="K214" s="110">
        <v>0</v>
      </c>
      <c r="L214" s="29"/>
      <c r="M214" s="103"/>
      <c r="N214" s="109"/>
      <c r="O214" s="6"/>
    </row>
    <row r="215" spans="1:15" ht="15.75">
      <c r="A215" s="106"/>
      <c r="B215" s="74"/>
      <c r="C215" s="67"/>
      <c r="D215" s="67"/>
      <c r="E215" s="113"/>
      <c r="F215" s="111"/>
      <c r="G215" s="112"/>
      <c r="H215" s="29"/>
      <c r="I215" s="37"/>
      <c r="J215" s="37"/>
      <c r="K215" s="114"/>
      <c r="L215" s="37"/>
      <c r="M215" s="103"/>
      <c r="N215" s="109"/>
      <c r="O215" s="6"/>
    </row>
    <row r="216" spans="1:15" ht="15.75">
      <c r="A216" s="106"/>
      <c r="B216" s="162" t="s">
        <v>152</v>
      </c>
      <c r="C216" s="67"/>
      <c r="D216" s="67"/>
      <c r="E216" s="113"/>
      <c r="F216" s="111"/>
      <c r="G216" s="112"/>
      <c r="H216" s="29"/>
      <c r="I216" s="37"/>
      <c r="J216" s="37"/>
      <c r="K216" s="114"/>
      <c r="L216" s="37"/>
      <c r="M216" s="103"/>
      <c r="N216" s="109"/>
      <c r="O216" s="6"/>
    </row>
    <row r="217" spans="1:15" ht="15.75">
      <c r="A217" s="106"/>
      <c r="B217" s="74" t="s">
        <v>153</v>
      </c>
      <c r="C217" s="67"/>
      <c r="D217" s="67"/>
      <c r="E217" s="113"/>
      <c r="F217" s="111"/>
      <c r="G217" s="112"/>
      <c r="H217" s="29"/>
      <c r="I217" s="37"/>
      <c r="J217" s="37"/>
      <c r="K217" s="115">
        <v>61</v>
      </c>
      <c r="L217" s="37"/>
      <c r="M217" s="103"/>
      <c r="N217" s="109"/>
      <c r="O217" s="6"/>
    </row>
    <row r="218" spans="1:15" ht="15.75">
      <c r="A218" s="106"/>
      <c r="B218" s="74" t="s">
        <v>149</v>
      </c>
      <c r="C218" s="67"/>
      <c r="D218" s="67"/>
      <c r="E218" s="113"/>
      <c r="F218" s="111"/>
      <c r="G218" s="112"/>
      <c r="H218" s="29"/>
      <c r="I218" s="37"/>
      <c r="J218" s="37"/>
      <c r="K218" s="115">
        <v>3.14</v>
      </c>
      <c r="L218" s="37"/>
      <c r="M218" s="103"/>
      <c r="N218" s="109"/>
      <c r="O218" s="6"/>
    </row>
    <row r="219" spans="1:15" ht="15.75">
      <c r="A219" s="106"/>
      <c r="B219" s="74" t="s">
        <v>154</v>
      </c>
      <c r="C219" s="67"/>
      <c r="D219" s="67"/>
      <c r="E219" s="113"/>
      <c r="F219" s="111"/>
      <c r="G219" s="112"/>
      <c r="H219" s="29"/>
      <c r="I219" s="37"/>
      <c r="J219" s="37"/>
      <c r="K219" s="115">
        <v>34</v>
      </c>
      <c r="L219" s="37"/>
      <c r="M219" s="103"/>
      <c r="N219" s="109"/>
      <c r="O219" s="6"/>
    </row>
    <row r="220" spans="1:15" ht="15.75">
      <c r="A220" s="106"/>
      <c r="B220" s="74"/>
      <c r="C220" s="67"/>
      <c r="D220" s="67"/>
      <c r="E220" s="113"/>
      <c r="F220" s="111"/>
      <c r="G220" s="112"/>
      <c r="H220" s="29"/>
      <c r="I220" s="37"/>
      <c r="J220" s="37"/>
      <c r="K220" s="114"/>
      <c r="L220" s="37"/>
      <c r="M220" s="103"/>
      <c r="N220" s="109"/>
      <c r="O220" s="6"/>
    </row>
    <row r="221" spans="1:15" ht="15.75">
      <c r="A221" s="28"/>
      <c r="B221" s="32" t="s">
        <v>155</v>
      </c>
      <c r="C221" s="119"/>
      <c r="D221" s="119"/>
      <c r="E221" s="120"/>
      <c r="F221" s="119"/>
      <c r="G221" s="120"/>
      <c r="H221" s="119"/>
      <c r="I221" s="120" t="s">
        <v>206</v>
      </c>
      <c r="J221" s="119" t="s">
        <v>208</v>
      </c>
      <c r="K221" s="120" t="s">
        <v>215</v>
      </c>
      <c r="L221" s="119" t="s">
        <v>208</v>
      </c>
      <c r="M221" s="121"/>
      <c r="N221" s="109"/>
      <c r="O221" s="6"/>
    </row>
    <row r="222" spans="1:15" ht="15.75">
      <c r="A222" s="28"/>
      <c r="B222" s="67" t="s">
        <v>156</v>
      </c>
      <c r="C222" s="116"/>
      <c r="D222" s="116"/>
      <c r="E222" s="67"/>
      <c r="F222" s="116"/>
      <c r="G222" s="29"/>
      <c r="H222" s="116"/>
      <c r="I222" s="67">
        <v>6822</v>
      </c>
      <c r="J222" s="116">
        <f>I222/I226</f>
        <v>0.9568022440392707</v>
      </c>
      <c r="K222" s="66">
        <v>75326</v>
      </c>
      <c r="L222" s="117">
        <f>K222/K226</f>
        <v>0.9500901832675352</v>
      </c>
      <c r="M222" s="103"/>
      <c r="N222" s="109"/>
      <c r="O222" s="6"/>
    </row>
    <row r="223" spans="1:15" ht="15.75">
      <c r="A223" s="28"/>
      <c r="B223" s="67" t="s">
        <v>157</v>
      </c>
      <c r="C223" s="116"/>
      <c r="D223" s="116"/>
      <c r="E223" s="67"/>
      <c r="F223" s="116"/>
      <c r="G223" s="29"/>
      <c r="H223" s="118"/>
      <c r="I223" s="67">
        <v>123</v>
      </c>
      <c r="J223" s="116">
        <f>I223/I226</f>
        <v>0.017251051893408136</v>
      </c>
      <c r="K223" s="66">
        <v>1627</v>
      </c>
      <c r="L223" s="117">
        <f>K223/K226</f>
        <v>0.020521423255931284</v>
      </c>
      <c r="M223" s="103"/>
      <c r="N223" s="109"/>
      <c r="O223" s="6"/>
    </row>
    <row r="224" spans="1:15" ht="15.75">
      <c r="A224" s="28"/>
      <c r="B224" s="67" t="s">
        <v>158</v>
      </c>
      <c r="C224" s="116"/>
      <c r="D224" s="116"/>
      <c r="E224" s="67"/>
      <c r="F224" s="116"/>
      <c r="G224" s="29"/>
      <c r="H224" s="118"/>
      <c r="I224" s="67">
        <v>67</v>
      </c>
      <c r="J224" s="116">
        <f>I224/I226</f>
        <v>0.009396914446002805</v>
      </c>
      <c r="K224" s="66">
        <v>911</v>
      </c>
      <c r="L224" s="117">
        <f>K224/K226</f>
        <v>0.011490483457992256</v>
      </c>
      <c r="M224" s="103"/>
      <c r="N224" s="109"/>
      <c r="O224" s="6"/>
    </row>
    <row r="225" spans="1:15" ht="15.75">
      <c r="A225" s="28"/>
      <c r="B225" s="67" t="s">
        <v>159</v>
      </c>
      <c r="C225" s="116"/>
      <c r="D225" s="116"/>
      <c r="E225" s="67"/>
      <c r="F225" s="116"/>
      <c r="G225" s="29"/>
      <c r="H225" s="118"/>
      <c r="I225" s="67">
        <v>118</v>
      </c>
      <c r="J225" s="116">
        <f>I225/I226</f>
        <v>0.016549789621318374</v>
      </c>
      <c r="K225" s="66">
        <f>518+188+224+340+149</f>
        <v>1419</v>
      </c>
      <c r="L225" s="117">
        <f>K225/K226</f>
        <v>0.017897910018541175</v>
      </c>
      <c r="M225" s="103"/>
      <c r="N225" s="109"/>
      <c r="O225" s="6"/>
    </row>
    <row r="226" spans="1:15" ht="15.75">
      <c r="A226" s="28"/>
      <c r="B226" s="29"/>
      <c r="C226" s="29"/>
      <c r="D226" s="29"/>
      <c r="E226" s="37"/>
      <c r="F226" s="29"/>
      <c r="G226" s="29"/>
      <c r="H226" s="29"/>
      <c r="I226" s="65">
        <f>SUM(I222:I225)</f>
        <v>7130</v>
      </c>
      <c r="J226" s="117">
        <f>SUM(J222:J225)</f>
        <v>1</v>
      </c>
      <c r="K226" s="66">
        <f>SUM(K222:K225)</f>
        <v>79283</v>
      </c>
      <c r="L226" s="117">
        <f>SUM(L222:L225)</f>
        <v>1</v>
      </c>
      <c r="M226" s="103"/>
      <c r="N226" s="29"/>
      <c r="O226" s="6"/>
    </row>
    <row r="227" spans="1:15" ht="15.75">
      <c r="A227" s="28"/>
      <c r="B227" s="29"/>
      <c r="C227" s="29"/>
      <c r="D227" s="29"/>
      <c r="E227" s="37"/>
      <c r="F227" s="29"/>
      <c r="G227" s="29"/>
      <c r="H227" s="29"/>
      <c r="I227" s="65"/>
      <c r="J227" s="117"/>
      <c r="K227" s="66"/>
      <c r="L227" s="117"/>
      <c r="M227" s="103"/>
      <c r="N227" s="29"/>
      <c r="O227" s="6"/>
    </row>
    <row r="228" spans="1:15" ht="15.75">
      <c r="A228" s="28"/>
      <c r="B228" s="32" t="s">
        <v>160</v>
      </c>
      <c r="C228" s="119"/>
      <c r="D228" s="119"/>
      <c r="E228" s="120"/>
      <c r="F228" s="119"/>
      <c r="G228" s="120"/>
      <c r="H228" s="119"/>
      <c r="I228" s="120" t="s">
        <v>206</v>
      </c>
      <c r="J228" s="119" t="s">
        <v>208</v>
      </c>
      <c r="K228" s="120" t="s">
        <v>215</v>
      </c>
      <c r="L228" s="119" t="s">
        <v>208</v>
      </c>
      <c r="M228" s="121"/>
      <c r="N228" s="109"/>
      <c r="O228" s="6"/>
    </row>
    <row r="229" spans="1:15" ht="15.75">
      <c r="A229" s="28"/>
      <c r="B229" s="67" t="s">
        <v>156</v>
      </c>
      <c r="C229" s="116"/>
      <c r="D229" s="116"/>
      <c r="E229" s="67"/>
      <c r="F229" s="116"/>
      <c r="G229" s="29"/>
      <c r="H229" s="116"/>
      <c r="I229" s="67">
        <v>16110</v>
      </c>
      <c r="J229" s="116">
        <f>I229/I233</f>
        <v>0.9842375366568915</v>
      </c>
      <c r="K229" s="66">
        <v>93845</v>
      </c>
      <c r="L229" s="116">
        <f>K229/K233</f>
        <v>0.9852183133339633</v>
      </c>
      <c r="M229" s="103"/>
      <c r="N229" s="109"/>
      <c r="O229" s="6"/>
    </row>
    <row r="230" spans="1:15" ht="15.75">
      <c r="A230" s="28"/>
      <c r="B230" s="67" t="s">
        <v>157</v>
      </c>
      <c r="C230" s="116"/>
      <c r="D230" s="116"/>
      <c r="E230" s="67"/>
      <c r="F230" s="116"/>
      <c r="G230" s="29"/>
      <c r="H230" s="118"/>
      <c r="I230" s="67">
        <v>109</v>
      </c>
      <c r="J230" s="116">
        <f>I230/I233</f>
        <v>0.006659335288367547</v>
      </c>
      <c r="K230" s="66">
        <v>630</v>
      </c>
      <c r="L230" s="116">
        <f>K230/K233</f>
        <v>0.006613964914490882</v>
      </c>
      <c r="M230" s="103"/>
      <c r="N230" s="109"/>
      <c r="O230" s="6"/>
    </row>
    <row r="231" spans="1:15" ht="15.75">
      <c r="A231" s="28"/>
      <c r="B231" s="67" t="s">
        <v>158</v>
      </c>
      <c r="C231" s="116"/>
      <c r="D231" s="116"/>
      <c r="E231" s="67"/>
      <c r="F231" s="116"/>
      <c r="G231" s="29"/>
      <c r="H231" s="118"/>
      <c r="I231" s="67">
        <v>46</v>
      </c>
      <c r="J231" s="116">
        <f>I231/I233</f>
        <v>0.0028103616813294234</v>
      </c>
      <c r="K231" s="66">
        <v>337</v>
      </c>
      <c r="L231" s="116">
        <f>K231/K233</f>
        <v>0.0035379463114022657</v>
      </c>
      <c r="M231" s="103"/>
      <c r="N231" s="109"/>
      <c r="O231" s="6"/>
    </row>
    <row r="232" spans="1:15" ht="15.75">
      <c r="A232" s="28"/>
      <c r="B232" s="67" t="s">
        <v>159</v>
      </c>
      <c r="C232" s="116"/>
      <c r="D232" s="116"/>
      <c r="E232" s="67"/>
      <c r="F232" s="116"/>
      <c r="G232" s="29"/>
      <c r="H232" s="118"/>
      <c r="I232" s="67">
        <v>103</v>
      </c>
      <c r="J232" s="116">
        <f>I232/I233</f>
        <v>0.006292766373411534</v>
      </c>
      <c r="K232" s="66">
        <v>441</v>
      </c>
      <c r="L232" s="116">
        <f>K232/K233</f>
        <v>0.004629775440143618</v>
      </c>
      <c r="M232" s="103"/>
      <c r="N232" s="109"/>
      <c r="O232" s="6"/>
    </row>
    <row r="233" spans="1:15" ht="15.75">
      <c r="A233" s="28"/>
      <c r="B233" s="29"/>
      <c r="C233" s="29"/>
      <c r="D233" s="29"/>
      <c r="E233" s="37"/>
      <c r="F233" s="29"/>
      <c r="G233" s="29"/>
      <c r="H233" s="29"/>
      <c r="I233" s="65">
        <f>SUM(I229:I232)</f>
        <v>16368</v>
      </c>
      <c r="J233" s="117">
        <f>SUM(J229:J232)</f>
        <v>1</v>
      </c>
      <c r="K233" s="66">
        <f>SUM(K229:K232)</f>
        <v>95253</v>
      </c>
      <c r="L233" s="117">
        <f>SUM(L229:L232)</f>
        <v>1</v>
      </c>
      <c r="M233" s="103"/>
      <c r="N233" s="29"/>
      <c r="O233" s="6"/>
    </row>
    <row r="234" spans="1:15" ht="15.75">
      <c r="A234" s="28"/>
      <c r="B234" s="29"/>
      <c r="C234" s="29"/>
      <c r="D234" s="29"/>
      <c r="E234" s="37"/>
      <c r="F234" s="29"/>
      <c r="G234" s="29"/>
      <c r="H234" s="29"/>
      <c r="I234" s="65"/>
      <c r="J234" s="117"/>
      <c r="K234" s="66"/>
      <c r="L234" s="117"/>
      <c r="M234" s="103"/>
      <c r="N234" s="29"/>
      <c r="O234" s="6"/>
    </row>
    <row r="235" spans="1:15" ht="15.75">
      <c r="A235" s="28"/>
      <c r="B235" s="29" t="s">
        <v>161</v>
      </c>
      <c r="C235" s="29"/>
      <c r="D235" s="29"/>
      <c r="E235" s="37"/>
      <c r="F235" s="29"/>
      <c r="G235" s="29"/>
      <c r="H235" s="29"/>
      <c r="I235" s="65"/>
      <c r="J235" s="117"/>
      <c r="K235" s="66">
        <f>K226+K233</f>
        <v>174536</v>
      </c>
      <c r="L235" s="117"/>
      <c r="M235" s="103"/>
      <c r="N235" s="29"/>
      <c r="O235" s="6"/>
    </row>
    <row r="236" spans="1:15" ht="15.75">
      <c r="A236" s="28"/>
      <c r="B236" s="29"/>
      <c r="C236" s="29"/>
      <c r="D236" s="29"/>
      <c r="E236" s="37"/>
      <c r="F236" s="29"/>
      <c r="G236" s="29"/>
      <c r="H236" s="29"/>
      <c r="I236" s="65"/>
      <c r="J236" s="117"/>
      <c r="K236" s="66"/>
      <c r="L236" s="117"/>
      <c r="M236" s="103"/>
      <c r="N236" s="29"/>
      <c r="O236" s="6"/>
    </row>
    <row r="237" spans="1:15" ht="15.75">
      <c r="A237" s="28"/>
      <c r="B237" s="29"/>
      <c r="C237" s="29"/>
      <c r="D237" s="29"/>
      <c r="E237" s="37"/>
      <c r="F237" s="29"/>
      <c r="G237" s="29"/>
      <c r="H237" s="29"/>
      <c r="I237" s="65"/>
      <c r="J237" s="117"/>
      <c r="K237" s="66"/>
      <c r="L237" s="117"/>
      <c r="M237" s="103"/>
      <c r="N237" s="29"/>
      <c r="O237" s="6"/>
    </row>
    <row r="238" spans="1:15" ht="15.75">
      <c r="A238" s="122"/>
      <c r="B238" s="17" t="s">
        <v>162</v>
      </c>
      <c r="C238" s="123"/>
      <c r="D238" s="123"/>
      <c r="E238" s="20" t="s">
        <v>182</v>
      </c>
      <c r="F238" s="18"/>
      <c r="G238" s="17" t="s">
        <v>194</v>
      </c>
      <c r="H238" s="124"/>
      <c r="I238" s="124"/>
      <c r="J238" s="124"/>
      <c r="K238" s="125"/>
      <c r="L238" s="14"/>
      <c r="M238" s="14"/>
      <c r="N238" s="14"/>
      <c r="O238" s="6"/>
    </row>
    <row r="239" spans="1:15" ht="15.75">
      <c r="A239" s="122"/>
      <c r="B239" s="15" t="s">
        <v>163</v>
      </c>
      <c r="C239" s="126"/>
      <c r="D239" s="126"/>
      <c r="E239" s="127" t="s">
        <v>183</v>
      </c>
      <c r="F239" s="15"/>
      <c r="G239" s="15" t="s">
        <v>195</v>
      </c>
      <c r="H239" s="126"/>
      <c r="I239" s="126"/>
      <c r="J239" s="14"/>
      <c r="K239" s="14"/>
      <c r="L239" s="14"/>
      <c r="M239" s="14"/>
      <c r="N239" s="14"/>
      <c r="O239" s="6"/>
    </row>
    <row r="240" spans="1:15" ht="15.75">
      <c r="A240" s="122"/>
      <c r="B240" s="15" t="s">
        <v>164</v>
      </c>
      <c r="C240" s="126"/>
      <c r="D240" s="126"/>
      <c r="E240" s="127" t="s">
        <v>184</v>
      </c>
      <c r="F240" s="15"/>
      <c r="G240" s="15" t="s">
        <v>196</v>
      </c>
      <c r="H240" s="126"/>
      <c r="I240" s="126"/>
      <c r="J240" s="14"/>
      <c r="K240" s="14"/>
      <c r="L240" s="14"/>
      <c r="M240" s="14"/>
      <c r="N240" s="14"/>
      <c r="O240" s="6"/>
    </row>
    <row r="241" spans="1:15" ht="15.75">
      <c r="A241" s="122"/>
      <c r="B241" s="15"/>
      <c r="C241" s="126"/>
      <c r="D241" s="126"/>
      <c r="E241" s="127"/>
      <c r="F241" s="15"/>
      <c r="G241" s="15"/>
      <c r="H241" s="126"/>
      <c r="I241" s="126"/>
      <c r="J241" s="14"/>
      <c r="K241" s="14"/>
      <c r="L241" s="14"/>
      <c r="M241" s="14"/>
      <c r="N241" s="14"/>
      <c r="O241" s="6"/>
    </row>
    <row r="242" spans="1:15" ht="15.75">
      <c r="A242" s="122"/>
      <c r="B242" s="15"/>
      <c r="C242" s="126"/>
      <c r="D242" s="126"/>
      <c r="E242" s="127"/>
      <c r="F242" s="15"/>
      <c r="G242" s="15"/>
      <c r="H242" s="126"/>
      <c r="I242" s="126"/>
      <c r="J242" s="14"/>
      <c r="K242" s="14"/>
      <c r="L242" s="14"/>
      <c r="M242" s="14"/>
      <c r="N242" s="14"/>
      <c r="O242" s="6"/>
    </row>
    <row r="243" spans="1:15" ht="15.75">
      <c r="A243" s="122"/>
      <c r="B243" s="15" t="s">
        <v>230</v>
      </c>
      <c r="C243" s="126"/>
      <c r="D243" s="126"/>
      <c r="E243" s="127"/>
      <c r="F243" s="15"/>
      <c r="G243" s="15"/>
      <c r="H243" s="126"/>
      <c r="I243" s="126"/>
      <c r="J243" s="14"/>
      <c r="K243" s="14"/>
      <c r="L243" s="14"/>
      <c r="M243" s="14"/>
      <c r="N243" s="14"/>
      <c r="O243" s="6"/>
    </row>
    <row r="244" spans="1:14" ht="15">
      <c r="A244" s="130"/>
      <c r="B244" s="130"/>
      <c r="C244" s="130"/>
      <c r="D244" s="130"/>
      <c r="E244" s="130"/>
      <c r="F244" s="130"/>
      <c r="G244" s="130"/>
      <c r="H244" s="130"/>
      <c r="I244" s="130"/>
      <c r="J244" s="130"/>
      <c r="K244" s="130"/>
      <c r="L244" s="130"/>
      <c r="M244" s="130"/>
      <c r="N244" s="130"/>
    </row>
  </sheetData>
  <printOptions horizontalCentered="1" verticalCentered="1"/>
  <pageMargins left="0.2362204724409449" right="0.4330708661417323" top="0.2362204724409449" bottom="0.31496062992125984" header="0" footer="0"/>
  <pageSetup horizontalDpi="600" verticalDpi="600" orientation="landscape" paperSize="9" scale="48" r:id="rId2"/>
  <rowBreaks count="3" manualBreakCount="3">
    <brk id="53" max="255" man="1"/>
    <brk id="116" max="255" man="1"/>
    <brk id="174" max="255" man="1"/>
  </rowBreaks>
  <drawing r:id="rId1"/>
</worksheet>
</file>

<file path=xl/worksheets/sheet5.xml><?xml version="1.0" encoding="utf-8"?>
<worksheet xmlns="http://schemas.openxmlformats.org/spreadsheetml/2006/main" xmlns:r="http://schemas.openxmlformats.org/officeDocument/2006/relationships">
  <dimension ref="A1:O24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49.6640625" style="1" customWidth="1"/>
    <col min="3" max="3" width="12.6640625" style="1" customWidth="1"/>
    <col min="4" max="4" width="18.6640625" style="1" customWidth="1"/>
    <col min="5" max="5" width="14.6640625" style="1" customWidth="1"/>
    <col min="6" max="6" width="4.6640625" style="1" customWidth="1"/>
    <col min="7" max="7" width="14.6640625" style="1" customWidth="1"/>
    <col min="8" max="8" width="4.6640625" style="1" customWidth="1"/>
    <col min="9" max="9" width="19.6640625" style="1" customWidth="1"/>
    <col min="10" max="10" width="6.6640625" style="1" customWidth="1"/>
    <col min="11" max="11" width="11.6640625" style="1" customWidth="1"/>
    <col min="12" max="12" width="8.6640625" style="1" customWidth="1"/>
    <col min="13" max="13" width="14.6640625" style="1" customWidth="1"/>
    <col min="14" max="14" width="2.6640625" style="1" customWidth="1"/>
    <col min="15" max="16384" width="9.6640625" style="1" customWidth="1"/>
  </cols>
  <sheetData>
    <row r="1" spans="1:15" ht="20.25">
      <c r="A1" s="2"/>
      <c r="B1" s="3" t="s">
        <v>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44" t="s">
        <v>1</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2</v>
      </c>
      <c r="C5" s="13"/>
      <c r="D5" s="13"/>
      <c r="E5" s="9"/>
      <c r="F5" s="9"/>
      <c r="G5" s="9"/>
      <c r="H5" s="9"/>
      <c r="I5" s="9"/>
      <c r="J5" s="9"/>
      <c r="K5" s="9"/>
      <c r="L5" s="9"/>
      <c r="M5" s="9"/>
      <c r="N5" s="9"/>
      <c r="O5" s="6"/>
    </row>
    <row r="6" spans="1:15" ht="15.75">
      <c r="A6" s="7"/>
      <c r="B6" s="12" t="s">
        <v>3</v>
      </c>
      <c r="C6" s="13"/>
      <c r="D6" s="13"/>
      <c r="E6" s="9"/>
      <c r="F6" s="9"/>
      <c r="G6" s="9"/>
      <c r="H6" s="9"/>
      <c r="I6" s="9"/>
      <c r="J6" s="9"/>
      <c r="K6" s="9"/>
      <c r="L6" s="9"/>
      <c r="M6" s="9"/>
      <c r="N6" s="9"/>
      <c r="O6" s="6"/>
    </row>
    <row r="7" spans="1:15" ht="15.75">
      <c r="A7" s="7"/>
      <c r="B7" s="12" t="s">
        <v>4</v>
      </c>
      <c r="C7" s="13"/>
      <c r="D7" s="13"/>
      <c r="E7" s="9"/>
      <c r="F7" s="9"/>
      <c r="G7" s="9"/>
      <c r="H7" s="9"/>
      <c r="I7" s="9"/>
      <c r="J7" s="9"/>
      <c r="K7" s="9"/>
      <c r="L7" s="9"/>
      <c r="M7" s="9"/>
      <c r="N7" s="9"/>
      <c r="O7" s="6"/>
    </row>
    <row r="8" spans="1:15" ht="15.75">
      <c r="A8" s="7"/>
      <c r="B8" s="14"/>
      <c r="C8" s="13"/>
      <c r="D8" s="13"/>
      <c r="E8" s="9"/>
      <c r="F8" s="9"/>
      <c r="G8" s="9"/>
      <c r="H8" s="9"/>
      <c r="I8" s="9"/>
      <c r="J8" s="9"/>
      <c r="K8" s="9"/>
      <c r="L8" s="9"/>
      <c r="M8" s="9"/>
      <c r="N8" s="9"/>
      <c r="O8" s="6"/>
    </row>
    <row r="9" spans="1:15" ht="15.75">
      <c r="A9" s="7"/>
      <c r="B9" s="13"/>
      <c r="C9" s="13"/>
      <c r="D9" s="13"/>
      <c r="E9" s="15"/>
      <c r="F9" s="15"/>
      <c r="G9" s="9"/>
      <c r="H9" s="9"/>
      <c r="I9" s="9"/>
      <c r="J9" s="9"/>
      <c r="K9" s="9"/>
      <c r="L9" s="9"/>
      <c r="M9" s="9"/>
      <c r="N9" s="9"/>
      <c r="O9" s="6"/>
    </row>
    <row r="10" spans="1:15" ht="15.75">
      <c r="A10" s="7"/>
      <c r="B10" s="15" t="s">
        <v>5</v>
      </c>
      <c r="C10" s="15"/>
      <c r="D10" s="15"/>
      <c r="E10" s="9"/>
      <c r="F10" s="9"/>
      <c r="G10" s="9"/>
      <c r="H10" s="9"/>
      <c r="I10" s="9"/>
      <c r="J10" s="9"/>
      <c r="K10" s="9"/>
      <c r="L10" s="9"/>
      <c r="M10" s="9"/>
      <c r="N10" s="9"/>
      <c r="O10" s="6"/>
    </row>
    <row r="11" spans="1:15" ht="15.75">
      <c r="A11" s="7"/>
      <c r="B11" s="15"/>
      <c r="C11" s="15"/>
      <c r="D11" s="15"/>
      <c r="E11" s="9"/>
      <c r="F11" s="9"/>
      <c r="G11" s="9"/>
      <c r="H11" s="9"/>
      <c r="I11" s="9"/>
      <c r="J11" s="9"/>
      <c r="K11" s="9"/>
      <c r="L11" s="9"/>
      <c r="M11" s="9"/>
      <c r="N11" s="9"/>
      <c r="O11" s="6"/>
    </row>
    <row r="12" spans="1:15" ht="15.75">
      <c r="A12" s="2"/>
      <c r="B12" s="5"/>
      <c r="C12" s="5"/>
      <c r="D12" s="5"/>
      <c r="E12" s="5"/>
      <c r="F12" s="5"/>
      <c r="G12" s="5"/>
      <c r="H12" s="5"/>
      <c r="I12" s="5"/>
      <c r="J12" s="5"/>
      <c r="K12" s="5"/>
      <c r="L12" s="5"/>
      <c r="M12" s="5"/>
      <c r="N12" s="5"/>
      <c r="O12" s="6"/>
    </row>
    <row r="13" spans="1:15" ht="15.75">
      <c r="A13" s="7"/>
      <c r="B13" s="17" t="s">
        <v>6</v>
      </c>
      <c r="C13" s="17"/>
      <c r="D13" s="17"/>
      <c r="E13" s="18"/>
      <c r="F13" s="18"/>
      <c r="G13" s="18"/>
      <c r="H13" s="18"/>
      <c r="I13" s="18"/>
      <c r="J13" s="18"/>
      <c r="K13" s="18"/>
      <c r="L13" s="18"/>
      <c r="M13" s="19" t="s">
        <v>217</v>
      </c>
      <c r="N13" s="9"/>
      <c r="O13" s="6"/>
    </row>
    <row r="14" spans="1:15" ht="15.75">
      <c r="A14" s="7"/>
      <c r="B14" s="17" t="s">
        <v>7</v>
      </c>
      <c r="C14" s="17"/>
      <c r="D14" s="18"/>
      <c r="E14" s="18"/>
      <c r="F14" s="18"/>
      <c r="G14" s="18"/>
      <c r="H14" s="20" t="s">
        <v>197</v>
      </c>
      <c r="I14" s="21">
        <v>0.52</v>
      </c>
      <c r="J14" s="20" t="s">
        <v>207</v>
      </c>
      <c r="K14" s="21">
        <v>0.48</v>
      </c>
      <c r="L14" s="18"/>
      <c r="M14" s="19"/>
      <c r="N14" s="9"/>
      <c r="O14" s="6"/>
    </row>
    <row r="15" spans="1:15" ht="15.75">
      <c r="A15" s="7"/>
      <c r="B15" s="17" t="s">
        <v>8</v>
      </c>
      <c r="C15" s="17"/>
      <c r="D15" s="18"/>
      <c r="E15" s="18"/>
      <c r="F15" s="18"/>
      <c r="G15" s="18"/>
      <c r="H15" s="20" t="s">
        <v>197</v>
      </c>
      <c r="I15" s="21">
        <f>K233/K235</f>
        <v>0.5423228117512968</v>
      </c>
      <c r="J15" s="20" t="s">
        <v>207</v>
      </c>
      <c r="K15" s="21">
        <f>K226/K235</f>
        <v>0.45767718824870324</v>
      </c>
      <c r="L15" s="18"/>
      <c r="M15" s="19"/>
      <c r="N15" s="9"/>
      <c r="O15" s="6"/>
    </row>
    <row r="16" spans="1:15" ht="15.75">
      <c r="A16" s="7"/>
      <c r="B16" s="17" t="s">
        <v>9</v>
      </c>
      <c r="C16" s="17"/>
      <c r="D16" s="17"/>
      <c r="E16" s="18"/>
      <c r="F16" s="18"/>
      <c r="G16" s="18"/>
      <c r="H16" s="18"/>
      <c r="I16" s="18"/>
      <c r="J16" s="18"/>
      <c r="K16" s="18"/>
      <c r="L16" s="18"/>
      <c r="M16" s="20" t="s">
        <v>218</v>
      </c>
      <c r="N16" s="9"/>
      <c r="O16" s="6"/>
    </row>
    <row r="17" spans="1:15" ht="15.75">
      <c r="A17" s="7"/>
      <c r="B17" s="17" t="s">
        <v>10</v>
      </c>
      <c r="C17" s="17"/>
      <c r="D17" s="17"/>
      <c r="E17" s="18"/>
      <c r="F17" s="18"/>
      <c r="G17" s="18"/>
      <c r="H17" s="18"/>
      <c r="I17" s="18"/>
      <c r="J17" s="18"/>
      <c r="K17" s="18"/>
      <c r="L17" s="18"/>
      <c r="M17" s="22">
        <v>37313</v>
      </c>
      <c r="N17" s="9"/>
      <c r="O17" s="6"/>
    </row>
    <row r="18" spans="1:15" ht="15.75">
      <c r="A18" s="7"/>
      <c r="B18" s="9"/>
      <c r="C18" s="9"/>
      <c r="D18" s="9"/>
      <c r="E18" s="9"/>
      <c r="F18" s="9"/>
      <c r="G18" s="9"/>
      <c r="H18" s="9"/>
      <c r="I18" s="9"/>
      <c r="J18" s="9"/>
      <c r="K18" s="9"/>
      <c r="L18" s="9"/>
      <c r="M18" s="23"/>
      <c r="N18" s="9"/>
      <c r="O18" s="6"/>
    </row>
    <row r="19" spans="1:15" ht="15.75">
      <c r="A19" s="7"/>
      <c r="B19" s="24" t="s">
        <v>11</v>
      </c>
      <c r="C19" s="9"/>
      <c r="D19" s="9"/>
      <c r="E19" s="9"/>
      <c r="F19" s="9"/>
      <c r="G19" s="9"/>
      <c r="H19" s="9"/>
      <c r="I19" s="9"/>
      <c r="J19" s="9"/>
      <c r="K19" s="23"/>
      <c r="L19" s="9"/>
      <c r="M19" s="14"/>
      <c r="N19" s="9"/>
      <c r="O19" s="6"/>
    </row>
    <row r="20" spans="1:15" ht="15.75">
      <c r="A20" s="7"/>
      <c r="B20" s="9"/>
      <c r="C20" s="9"/>
      <c r="D20" s="9"/>
      <c r="E20" s="9"/>
      <c r="F20" s="9"/>
      <c r="G20" s="9"/>
      <c r="H20" s="9"/>
      <c r="I20" s="9"/>
      <c r="J20" s="9"/>
      <c r="K20" s="9"/>
      <c r="L20" s="9"/>
      <c r="M20" s="25"/>
      <c r="N20" s="9"/>
      <c r="O20" s="6"/>
    </row>
    <row r="21" spans="1:15" ht="31.5">
      <c r="A21" s="7"/>
      <c r="B21" s="9"/>
      <c r="C21" s="145" t="s">
        <v>165</v>
      </c>
      <c r="D21" s="168" t="s">
        <v>168</v>
      </c>
      <c r="E21" s="168" t="s">
        <v>179</v>
      </c>
      <c r="F21" s="168"/>
      <c r="G21" s="168" t="s">
        <v>185</v>
      </c>
      <c r="H21" s="168"/>
      <c r="I21" s="168" t="s">
        <v>198</v>
      </c>
      <c r="J21" s="168"/>
      <c r="K21" s="27"/>
      <c r="L21" s="14"/>
      <c r="M21" s="14"/>
      <c r="N21" s="9"/>
      <c r="O21" s="6"/>
    </row>
    <row r="22" spans="1:15" ht="15.75">
      <c r="A22" s="28"/>
      <c r="B22" s="29" t="s">
        <v>12</v>
      </c>
      <c r="C22" s="146" t="s">
        <v>166</v>
      </c>
      <c r="D22" s="30" t="s">
        <v>169</v>
      </c>
      <c r="E22" s="30"/>
      <c r="F22" s="30"/>
      <c r="G22" s="30" t="s">
        <v>186</v>
      </c>
      <c r="H22" s="30"/>
      <c r="I22" s="30" t="s">
        <v>199</v>
      </c>
      <c r="J22" s="30"/>
      <c r="K22" s="30"/>
      <c r="L22" s="31"/>
      <c r="M22" s="31"/>
      <c r="N22" s="29"/>
      <c r="O22" s="6"/>
    </row>
    <row r="23" spans="1:15" ht="15.75">
      <c r="A23" s="28"/>
      <c r="B23" s="29" t="s">
        <v>13</v>
      </c>
      <c r="C23" s="32"/>
      <c r="D23" s="33" t="s">
        <v>170</v>
      </c>
      <c r="E23" s="34"/>
      <c r="F23" s="33"/>
      <c r="G23" s="33" t="s">
        <v>187</v>
      </c>
      <c r="H23" s="33"/>
      <c r="I23" s="33" t="s">
        <v>200</v>
      </c>
      <c r="J23" s="35"/>
      <c r="K23" s="35"/>
      <c r="L23" s="36"/>
      <c r="M23" s="31"/>
      <c r="N23" s="29"/>
      <c r="O23" s="6"/>
    </row>
    <row r="24" spans="1:15" ht="15.75">
      <c r="A24" s="28"/>
      <c r="B24" s="32" t="s">
        <v>14</v>
      </c>
      <c r="C24" s="32"/>
      <c r="D24" s="35" t="s">
        <v>169</v>
      </c>
      <c r="E24" s="35"/>
      <c r="F24" s="35"/>
      <c r="G24" s="35" t="s">
        <v>186</v>
      </c>
      <c r="H24" s="35"/>
      <c r="I24" s="35" t="s">
        <v>199</v>
      </c>
      <c r="J24" s="35"/>
      <c r="K24" s="35"/>
      <c r="L24" s="36"/>
      <c r="M24" s="31"/>
      <c r="N24" s="29"/>
      <c r="O24" s="6"/>
    </row>
    <row r="25" spans="1:15" ht="15.75">
      <c r="A25" s="28"/>
      <c r="B25" s="32" t="s">
        <v>15</v>
      </c>
      <c r="C25" s="32"/>
      <c r="D25" s="35" t="s">
        <v>170</v>
      </c>
      <c r="E25" s="35"/>
      <c r="F25" s="35"/>
      <c r="G25" s="35" t="s">
        <v>187</v>
      </c>
      <c r="H25" s="35"/>
      <c r="I25" s="35" t="s">
        <v>200</v>
      </c>
      <c r="J25" s="35"/>
      <c r="K25" s="35"/>
      <c r="L25" s="36"/>
      <c r="M25" s="31"/>
      <c r="N25" s="29"/>
      <c r="O25" s="6"/>
    </row>
    <row r="26" spans="1:15" ht="15.75">
      <c r="A26" s="28"/>
      <c r="B26" s="29" t="s">
        <v>16</v>
      </c>
      <c r="C26" s="29"/>
      <c r="D26" s="37" t="s">
        <v>171</v>
      </c>
      <c r="E26" s="37"/>
      <c r="F26" s="30"/>
      <c r="G26" s="37" t="s">
        <v>188</v>
      </c>
      <c r="H26" s="30"/>
      <c r="I26" s="37" t="s">
        <v>201</v>
      </c>
      <c r="J26" s="30"/>
      <c r="K26" s="37"/>
      <c r="L26" s="31"/>
      <c r="M26" s="31"/>
      <c r="N26" s="29"/>
      <c r="O26" s="6"/>
    </row>
    <row r="27" spans="1:15" ht="15.75">
      <c r="A27" s="28"/>
      <c r="B27" s="29"/>
      <c r="C27" s="29"/>
      <c r="D27" s="29"/>
      <c r="E27" s="29"/>
      <c r="F27" s="30"/>
      <c r="G27" s="30"/>
      <c r="H27" s="30"/>
      <c r="I27" s="30"/>
      <c r="J27" s="30"/>
      <c r="K27" s="30"/>
      <c r="L27" s="31"/>
      <c r="M27" s="31"/>
      <c r="N27" s="29"/>
      <c r="O27" s="6"/>
    </row>
    <row r="28" spans="1:15" ht="15.75">
      <c r="A28" s="28"/>
      <c r="B28" s="29" t="s">
        <v>17</v>
      </c>
      <c r="C28" s="29"/>
      <c r="D28" s="38" t="s">
        <v>172</v>
      </c>
      <c r="E28" s="38">
        <v>168668</v>
      </c>
      <c r="F28" s="39"/>
      <c r="G28" s="38">
        <v>16580</v>
      </c>
      <c r="H28" s="38"/>
      <c r="I28" s="38">
        <v>9750</v>
      </c>
      <c r="J28" s="38"/>
      <c r="K28" s="38"/>
      <c r="L28" s="39" t="s">
        <v>172</v>
      </c>
      <c r="M28" s="38">
        <f>K28+I28+G28+E28</f>
        <v>194998</v>
      </c>
      <c r="N28" s="40"/>
      <c r="O28" s="6"/>
    </row>
    <row r="29" spans="1:15" ht="15.75">
      <c r="A29" s="28"/>
      <c r="B29" s="29" t="s">
        <v>18</v>
      </c>
      <c r="C29" s="41">
        <f>M28/M29</f>
        <v>1</v>
      </c>
      <c r="D29" s="38" t="s">
        <v>173</v>
      </c>
      <c r="E29" s="38">
        <v>168668</v>
      </c>
      <c r="F29" s="39"/>
      <c r="G29" s="38">
        <v>16580</v>
      </c>
      <c r="H29" s="38"/>
      <c r="I29" s="38">
        <v>9750</v>
      </c>
      <c r="J29" s="42"/>
      <c r="K29" s="38"/>
      <c r="L29" s="39" t="s">
        <v>172</v>
      </c>
      <c r="M29" s="38">
        <f>K29+I29+G29+E29</f>
        <v>194998</v>
      </c>
      <c r="N29" s="40"/>
      <c r="O29" s="6"/>
    </row>
    <row r="30" spans="1:15" ht="15.75">
      <c r="A30" s="43"/>
      <c r="B30" s="32" t="s">
        <v>19</v>
      </c>
      <c r="C30" s="44">
        <f>M29/M30</f>
        <v>1</v>
      </c>
      <c r="D30" s="45" t="s">
        <v>172</v>
      </c>
      <c r="E30" s="45">
        <v>168668</v>
      </c>
      <c r="F30" s="46"/>
      <c r="G30" s="45">
        <v>16580</v>
      </c>
      <c r="H30" s="45"/>
      <c r="I30" s="45">
        <v>9750</v>
      </c>
      <c r="J30" s="45"/>
      <c r="K30" s="45"/>
      <c r="L30" s="46" t="s">
        <v>172</v>
      </c>
      <c r="M30" s="45">
        <f>K30+I30+G30+E30</f>
        <v>194998</v>
      </c>
      <c r="N30" s="29"/>
      <c r="O30" s="6"/>
    </row>
    <row r="31" spans="1:15" ht="15.75">
      <c r="A31" s="28"/>
      <c r="B31" s="29" t="s">
        <v>20</v>
      </c>
      <c r="C31" s="47"/>
      <c r="D31" s="37" t="s">
        <v>174</v>
      </c>
      <c r="E31" s="37"/>
      <c r="F31" s="29"/>
      <c r="G31" s="37" t="s">
        <v>189</v>
      </c>
      <c r="H31" s="37"/>
      <c r="I31" s="37" t="s">
        <v>202</v>
      </c>
      <c r="J31" s="37"/>
      <c r="K31" s="37"/>
      <c r="L31" s="31"/>
      <c r="M31" s="31"/>
      <c r="N31" s="29"/>
      <c r="O31" s="6"/>
    </row>
    <row r="32" spans="1:15" ht="15.75">
      <c r="A32" s="28"/>
      <c r="B32" s="29" t="s">
        <v>21</v>
      </c>
      <c r="C32" s="47"/>
      <c r="D32" s="48" t="s">
        <v>175</v>
      </c>
      <c r="E32" s="49">
        <v>0.0432313</v>
      </c>
      <c r="F32" s="50"/>
      <c r="G32" s="48">
        <v>0.0474813</v>
      </c>
      <c r="H32" s="48"/>
      <c r="I32" s="48">
        <v>0.0574813</v>
      </c>
      <c r="J32" s="51"/>
      <c r="K32" s="48"/>
      <c r="L32" s="31"/>
      <c r="M32" s="51">
        <f>SUMPRODUCT(E32:K32,E30:K30)/M30</f>
        <v>0.04430516998841013</v>
      </c>
      <c r="N32" s="29"/>
      <c r="O32" s="6"/>
    </row>
    <row r="33" spans="1:15" ht="15.75">
      <c r="A33" s="28"/>
      <c r="B33" s="29" t="s">
        <v>22</v>
      </c>
      <c r="C33" s="47"/>
      <c r="D33" s="48">
        <v>0.03691</v>
      </c>
      <c r="E33" s="48"/>
      <c r="F33" s="50"/>
      <c r="G33" s="48" t="s">
        <v>175</v>
      </c>
      <c r="H33" s="48"/>
      <c r="I33" s="48" t="s">
        <v>175</v>
      </c>
      <c r="J33" s="51"/>
      <c r="K33" s="48"/>
      <c r="L33" s="31"/>
      <c r="M33" s="51"/>
      <c r="N33" s="29"/>
      <c r="O33" s="6"/>
    </row>
    <row r="34" spans="1:15" ht="15.75">
      <c r="A34" s="28"/>
      <c r="B34" s="29" t="s">
        <v>23</v>
      </c>
      <c r="C34" s="47"/>
      <c r="D34" s="48" t="s">
        <v>175</v>
      </c>
      <c r="E34" s="48"/>
      <c r="F34" s="48"/>
      <c r="G34" s="48">
        <v>0.0574875</v>
      </c>
      <c r="H34" s="48"/>
      <c r="I34" s="48">
        <v>0.0674875</v>
      </c>
      <c r="J34" s="51"/>
      <c r="K34" s="48"/>
      <c r="L34" s="31"/>
      <c r="M34" s="31"/>
      <c r="N34" s="29"/>
      <c r="O34" s="6"/>
    </row>
    <row r="35" spans="1:15" ht="15.75">
      <c r="A35" s="28"/>
      <c r="B35" s="29" t="s">
        <v>24</v>
      </c>
      <c r="C35" s="47"/>
      <c r="D35" s="48">
        <v>0.04702</v>
      </c>
      <c r="E35" s="48"/>
      <c r="F35" s="50"/>
      <c r="G35" s="48" t="s">
        <v>175</v>
      </c>
      <c r="H35" s="48"/>
      <c r="I35" s="48" t="s">
        <v>175</v>
      </c>
      <c r="J35" s="51"/>
      <c r="K35" s="48"/>
      <c r="L35" s="31"/>
      <c r="M35" s="31"/>
      <c r="N35" s="29"/>
      <c r="O35" s="6"/>
    </row>
    <row r="36" spans="1:15" ht="15.75">
      <c r="A36" s="28"/>
      <c r="B36" s="29" t="s">
        <v>25</v>
      </c>
      <c r="C36" s="47"/>
      <c r="D36" s="37" t="s">
        <v>176</v>
      </c>
      <c r="E36" s="37"/>
      <c r="F36" s="29"/>
      <c r="G36" s="37" t="s">
        <v>176</v>
      </c>
      <c r="H36" s="37"/>
      <c r="I36" s="37" t="s">
        <v>176</v>
      </c>
      <c r="J36" s="37"/>
      <c r="K36" s="37"/>
      <c r="L36" s="31"/>
      <c r="M36" s="31"/>
      <c r="N36" s="29"/>
      <c r="O36" s="6"/>
    </row>
    <row r="37" spans="1:15" ht="15.75">
      <c r="A37" s="28"/>
      <c r="B37" s="29" t="s">
        <v>26</v>
      </c>
      <c r="C37" s="29"/>
      <c r="D37" s="52">
        <v>39036</v>
      </c>
      <c r="E37" s="52"/>
      <c r="F37" s="29"/>
      <c r="G37" s="52">
        <v>39036</v>
      </c>
      <c r="H37" s="52"/>
      <c r="I37" s="52">
        <v>39036</v>
      </c>
      <c r="J37" s="37"/>
      <c r="K37" s="37"/>
      <c r="L37" s="31"/>
      <c r="M37" s="31"/>
      <c r="N37" s="29"/>
      <c r="O37" s="6"/>
    </row>
    <row r="38" spans="1:15" ht="15.75">
      <c r="A38" s="28"/>
      <c r="B38" s="29" t="s">
        <v>27</v>
      </c>
      <c r="C38" s="29"/>
      <c r="D38" s="37" t="s">
        <v>177</v>
      </c>
      <c r="E38" s="37"/>
      <c r="F38" s="29"/>
      <c r="G38" s="37" t="s">
        <v>190</v>
      </c>
      <c r="H38" s="37"/>
      <c r="I38" s="37" t="s">
        <v>203</v>
      </c>
      <c r="J38" s="37"/>
      <c r="K38" s="37"/>
      <c r="L38" s="31"/>
      <c r="M38" s="31"/>
      <c r="N38" s="29"/>
      <c r="O38" s="6"/>
    </row>
    <row r="39" spans="1:15" ht="15.75">
      <c r="A39" s="28"/>
      <c r="B39" s="29"/>
      <c r="C39" s="29"/>
      <c r="D39" s="29"/>
      <c r="E39" s="53"/>
      <c r="F39" s="53"/>
      <c r="G39" s="29"/>
      <c r="H39" s="53"/>
      <c r="I39" s="53"/>
      <c r="J39" s="53"/>
      <c r="K39" s="53"/>
      <c r="L39" s="53"/>
      <c r="M39" s="53"/>
      <c r="N39" s="29"/>
      <c r="O39" s="6"/>
    </row>
    <row r="40" spans="1:15" ht="15.75">
      <c r="A40" s="28"/>
      <c r="B40" s="29" t="s">
        <v>28</v>
      </c>
      <c r="C40" s="29"/>
      <c r="D40" s="29"/>
      <c r="E40" s="29"/>
      <c r="F40" s="29"/>
      <c r="G40" s="29"/>
      <c r="H40" s="29"/>
      <c r="I40" s="29"/>
      <c r="J40" s="29"/>
      <c r="K40" s="29"/>
      <c r="L40" s="29"/>
      <c r="M40" s="51">
        <f>(I28+G28)/(E28)</f>
        <v>0.15610548533213175</v>
      </c>
      <c r="N40" s="29"/>
      <c r="O40" s="6"/>
    </row>
    <row r="41" spans="1:15" ht="15.75">
      <c r="A41" s="28"/>
      <c r="B41" s="29" t="s">
        <v>29</v>
      </c>
      <c r="C41" s="29"/>
      <c r="D41" s="29"/>
      <c r="E41" s="29"/>
      <c r="F41" s="29"/>
      <c r="G41" s="29"/>
      <c r="H41" s="29"/>
      <c r="I41" s="29"/>
      <c r="J41" s="29"/>
      <c r="K41" s="29"/>
      <c r="L41" s="29"/>
      <c r="M41" s="51">
        <f>(I30+G30)/(E30)</f>
        <v>0.15610548533213175</v>
      </c>
      <c r="N41" s="29"/>
      <c r="O41" s="6"/>
    </row>
    <row r="42" spans="1:15" ht="15.75">
      <c r="A42" s="28"/>
      <c r="B42" s="29" t="s">
        <v>30</v>
      </c>
      <c r="C42" s="29"/>
      <c r="D42" s="29"/>
      <c r="E42" s="29"/>
      <c r="F42" s="29"/>
      <c r="G42" s="29"/>
      <c r="H42" s="29"/>
      <c r="I42" s="29"/>
      <c r="J42" s="29"/>
      <c r="K42" s="37" t="s">
        <v>168</v>
      </c>
      <c r="L42" s="37" t="s">
        <v>216</v>
      </c>
      <c r="M42" s="38">
        <v>60336</v>
      </c>
      <c r="N42" s="29"/>
      <c r="O42" s="6"/>
    </row>
    <row r="43" spans="1:15" ht="15.75">
      <c r="A43" s="28"/>
      <c r="B43" s="29"/>
      <c r="C43" s="29"/>
      <c r="D43" s="29"/>
      <c r="E43" s="29"/>
      <c r="F43" s="29"/>
      <c r="G43" s="29"/>
      <c r="H43" s="29"/>
      <c r="I43" s="29"/>
      <c r="J43" s="29"/>
      <c r="K43" s="29"/>
      <c r="L43" s="29"/>
      <c r="M43" s="54"/>
      <c r="N43" s="29"/>
      <c r="O43" s="6"/>
    </row>
    <row r="44" spans="1:15" ht="15.75">
      <c r="A44" s="28"/>
      <c r="B44" s="29" t="s">
        <v>31</v>
      </c>
      <c r="C44" s="29"/>
      <c r="D44" s="29"/>
      <c r="E44" s="29"/>
      <c r="F44" s="29"/>
      <c r="G44" s="29"/>
      <c r="H44" s="29"/>
      <c r="I44" s="29"/>
      <c r="J44" s="29"/>
      <c r="K44" s="37"/>
      <c r="L44" s="37"/>
      <c r="M44" s="37" t="s">
        <v>219</v>
      </c>
      <c r="N44" s="29"/>
      <c r="O44" s="6"/>
    </row>
    <row r="45" spans="1:15" ht="15.75">
      <c r="A45" s="43"/>
      <c r="B45" s="32" t="s">
        <v>32</v>
      </c>
      <c r="C45" s="32"/>
      <c r="D45" s="32"/>
      <c r="E45" s="32"/>
      <c r="F45" s="32"/>
      <c r="G45" s="32"/>
      <c r="H45" s="32"/>
      <c r="I45" s="32"/>
      <c r="J45" s="32"/>
      <c r="K45" s="55"/>
      <c r="L45" s="55"/>
      <c r="M45" s="56">
        <v>37302</v>
      </c>
      <c r="N45" s="32"/>
      <c r="O45" s="6"/>
    </row>
    <row r="46" spans="1:15" ht="15.75">
      <c r="A46" s="28"/>
      <c r="B46" s="29" t="s">
        <v>33</v>
      </c>
      <c r="C46" s="29"/>
      <c r="D46" s="29"/>
      <c r="E46" s="29"/>
      <c r="F46" s="29"/>
      <c r="G46" s="29"/>
      <c r="H46" s="29"/>
      <c r="I46" s="31"/>
      <c r="J46" s="29">
        <f>M46-K46+1</f>
        <v>92</v>
      </c>
      <c r="K46" s="58">
        <v>37118</v>
      </c>
      <c r="L46" s="59"/>
      <c r="M46" s="58">
        <v>37209</v>
      </c>
      <c r="N46" s="29"/>
      <c r="O46" s="6"/>
    </row>
    <row r="47" spans="1:15" ht="15.75">
      <c r="A47" s="28"/>
      <c r="B47" s="29" t="s">
        <v>34</v>
      </c>
      <c r="C47" s="29"/>
      <c r="D47" s="29"/>
      <c r="E47" s="29"/>
      <c r="F47" s="29"/>
      <c r="G47" s="29"/>
      <c r="H47" s="29"/>
      <c r="I47" s="31"/>
      <c r="J47" s="29">
        <f>M47-K47+1</f>
        <v>92</v>
      </c>
      <c r="K47" s="58">
        <v>37210</v>
      </c>
      <c r="L47" s="59"/>
      <c r="M47" s="58">
        <v>37301</v>
      </c>
      <c r="N47" s="29"/>
      <c r="O47" s="6"/>
    </row>
    <row r="48" spans="1:15" ht="15.75">
      <c r="A48" s="28"/>
      <c r="B48" s="29" t="s">
        <v>35</v>
      </c>
      <c r="C48" s="29"/>
      <c r="D48" s="29"/>
      <c r="E48" s="29"/>
      <c r="F48" s="29"/>
      <c r="G48" s="29"/>
      <c r="H48" s="29"/>
      <c r="I48" s="29"/>
      <c r="J48" s="29"/>
      <c r="K48" s="58"/>
      <c r="L48" s="59"/>
      <c r="M48" s="58" t="s">
        <v>220</v>
      </c>
      <c r="N48" s="29"/>
      <c r="O48" s="6"/>
    </row>
    <row r="49" spans="1:15" ht="15.75">
      <c r="A49" s="28"/>
      <c r="B49" s="29" t="s">
        <v>36</v>
      </c>
      <c r="C49" s="29"/>
      <c r="D49" s="29"/>
      <c r="E49" s="29"/>
      <c r="F49" s="29"/>
      <c r="G49" s="29"/>
      <c r="H49" s="29"/>
      <c r="I49" s="29"/>
      <c r="J49" s="29"/>
      <c r="K49" s="58"/>
      <c r="L49" s="59"/>
      <c r="M49" s="58" t="s">
        <v>221</v>
      </c>
      <c r="N49" s="29"/>
      <c r="O49" s="6"/>
    </row>
    <row r="50" spans="1:15" ht="15.75">
      <c r="A50" s="28"/>
      <c r="B50" s="29" t="s">
        <v>37</v>
      </c>
      <c r="C50" s="29"/>
      <c r="D50" s="29"/>
      <c r="E50" s="29"/>
      <c r="F50" s="29"/>
      <c r="G50" s="29"/>
      <c r="H50" s="29"/>
      <c r="I50" s="29"/>
      <c r="J50" s="29"/>
      <c r="K50" s="58"/>
      <c r="L50" s="59"/>
      <c r="M50" s="58">
        <v>37291</v>
      </c>
      <c r="N50" s="29"/>
      <c r="O50" s="6"/>
    </row>
    <row r="51" spans="1:15" ht="15.75">
      <c r="A51" s="28"/>
      <c r="B51" s="29"/>
      <c r="C51" s="29"/>
      <c r="D51" s="29"/>
      <c r="E51" s="29"/>
      <c r="F51" s="29"/>
      <c r="G51" s="29"/>
      <c r="H51" s="29"/>
      <c r="I51" s="29"/>
      <c r="J51" s="29"/>
      <c r="K51" s="29"/>
      <c r="L51" s="29"/>
      <c r="M51" s="60"/>
      <c r="N51" s="29"/>
      <c r="O51" s="6"/>
    </row>
    <row r="52" spans="1:15" ht="15.75">
      <c r="A52" s="7"/>
      <c r="B52" s="9"/>
      <c r="C52" s="9"/>
      <c r="D52" s="9"/>
      <c r="E52" s="9"/>
      <c r="F52" s="9"/>
      <c r="G52" s="9"/>
      <c r="H52" s="9"/>
      <c r="I52" s="9"/>
      <c r="J52" s="9"/>
      <c r="K52" s="9"/>
      <c r="L52" s="9"/>
      <c r="M52" s="61"/>
      <c r="N52" s="9"/>
      <c r="O52" s="6"/>
    </row>
    <row r="53" spans="1:15" ht="16.5" thickBot="1">
      <c r="A53" s="134"/>
      <c r="B53" s="135" t="s">
        <v>240</v>
      </c>
      <c r="C53" s="136"/>
      <c r="D53" s="136"/>
      <c r="E53" s="136"/>
      <c r="F53" s="136"/>
      <c r="G53" s="136"/>
      <c r="H53" s="136"/>
      <c r="I53" s="136"/>
      <c r="J53" s="136"/>
      <c r="K53" s="136"/>
      <c r="L53" s="136"/>
      <c r="M53" s="137"/>
      <c r="N53" s="138"/>
      <c r="O53" s="6"/>
    </row>
    <row r="54" spans="1:15" ht="15.75">
      <c r="A54" s="2"/>
      <c r="B54" s="5"/>
      <c r="C54" s="5"/>
      <c r="D54" s="5"/>
      <c r="E54" s="5"/>
      <c r="F54" s="5"/>
      <c r="G54" s="5"/>
      <c r="H54" s="5"/>
      <c r="I54" s="5"/>
      <c r="J54" s="5"/>
      <c r="K54" s="5"/>
      <c r="L54" s="5"/>
      <c r="M54" s="62"/>
      <c r="N54" s="5"/>
      <c r="O54" s="6"/>
    </row>
    <row r="55" spans="1:15" ht="15.75">
      <c r="A55" s="7"/>
      <c r="B55" s="63" t="s">
        <v>39</v>
      </c>
      <c r="C55" s="15"/>
      <c r="D55" s="15"/>
      <c r="E55" s="9"/>
      <c r="F55" s="9"/>
      <c r="G55" s="9"/>
      <c r="H55" s="9"/>
      <c r="I55" s="9"/>
      <c r="J55" s="9"/>
      <c r="K55" s="9"/>
      <c r="L55" s="9"/>
      <c r="M55" s="64"/>
      <c r="N55" s="9"/>
      <c r="O55" s="6"/>
    </row>
    <row r="56" spans="1:15" ht="15.75">
      <c r="A56" s="7"/>
      <c r="B56" s="15"/>
      <c r="C56" s="15"/>
      <c r="D56" s="15"/>
      <c r="E56" s="9"/>
      <c r="F56" s="9"/>
      <c r="G56" s="9"/>
      <c r="H56" s="9"/>
      <c r="I56" s="9"/>
      <c r="J56" s="9"/>
      <c r="K56" s="9"/>
      <c r="L56" s="9"/>
      <c r="M56" s="64"/>
      <c r="N56" s="9"/>
      <c r="O56" s="6"/>
    </row>
    <row r="57" spans="1:15" ht="47.25">
      <c r="A57" s="7"/>
      <c r="B57" s="170" t="s">
        <v>40</v>
      </c>
      <c r="C57" s="171" t="s">
        <v>167</v>
      </c>
      <c r="D57" s="171"/>
      <c r="E57" s="171" t="s">
        <v>180</v>
      </c>
      <c r="F57" s="171"/>
      <c r="G57" s="171" t="s">
        <v>191</v>
      </c>
      <c r="H57" s="171"/>
      <c r="I57" s="171" t="s">
        <v>204</v>
      </c>
      <c r="J57" s="171"/>
      <c r="K57" s="171" t="s">
        <v>209</v>
      </c>
      <c r="L57" s="171"/>
      <c r="M57" s="172" t="s">
        <v>222</v>
      </c>
      <c r="N57" s="144"/>
      <c r="O57" s="6"/>
    </row>
    <row r="58" spans="1:15" ht="15.75">
      <c r="A58" s="28"/>
      <c r="B58" s="29" t="s">
        <v>41</v>
      </c>
      <c r="C58" s="65">
        <v>73021</v>
      </c>
      <c r="D58" s="65"/>
      <c r="E58" s="65">
        <v>79282</v>
      </c>
      <c r="F58" s="65"/>
      <c r="G58" s="65">
        <f>10336+53+8+1</f>
        <v>10398</v>
      </c>
      <c r="H58" s="65"/>
      <c r="I58" s="65">
        <v>9820</v>
      </c>
      <c r="J58" s="65"/>
      <c r="K58" s="65">
        <v>0</v>
      </c>
      <c r="L58" s="65"/>
      <c r="M58" s="66">
        <f>E58-G58+I58-K58</f>
        <v>78704</v>
      </c>
      <c r="N58" s="29"/>
      <c r="O58" s="6"/>
    </row>
    <row r="59" spans="1:15" ht="15.75">
      <c r="A59" s="28"/>
      <c r="B59" s="29" t="s">
        <v>42</v>
      </c>
      <c r="C59" s="65">
        <v>506</v>
      </c>
      <c r="D59" s="65"/>
      <c r="E59" s="65">
        <v>0</v>
      </c>
      <c r="F59" s="65"/>
      <c r="G59" s="65">
        <v>52</v>
      </c>
      <c r="H59" s="65"/>
      <c r="I59" s="65">
        <v>52</v>
      </c>
      <c r="J59" s="65"/>
      <c r="K59" s="65">
        <v>0</v>
      </c>
      <c r="L59" s="65"/>
      <c r="M59" s="66">
        <f>E59-G59+I59-K59</f>
        <v>0</v>
      </c>
      <c r="N59" s="29"/>
      <c r="O59" s="6"/>
    </row>
    <row r="60" spans="1:15" ht="15.75">
      <c r="A60" s="28"/>
      <c r="B60" s="29"/>
      <c r="C60" s="65"/>
      <c r="D60" s="65"/>
      <c r="E60" s="65"/>
      <c r="F60" s="65"/>
      <c r="G60" s="65"/>
      <c r="H60" s="65"/>
      <c r="I60" s="65"/>
      <c r="J60" s="65"/>
      <c r="K60" s="65"/>
      <c r="L60" s="65"/>
      <c r="M60" s="66"/>
      <c r="N60" s="29"/>
      <c r="O60" s="6"/>
    </row>
    <row r="61" spans="1:15" ht="15.75">
      <c r="A61" s="28"/>
      <c r="B61" s="29" t="s">
        <v>43</v>
      </c>
      <c r="C61" s="65">
        <f>SUM(C58:C60)</f>
        <v>73527</v>
      </c>
      <c r="D61" s="65"/>
      <c r="E61" s="65">
        <f>SUM(E58:E60)</f>
        <v>79282</v>
      </c>
      <c r="F61" s="65"/>
      <c r="G61" s="65">
        <f>SUM(G58:G60)</f>
        <v>10450</v>
      </c>
      <c r="H61" s="65"/>
      <c r="I61" s="65">
        <f>SUM(I58:I60)</f>
        <v>9872</v>
      </c>
      <c r="J61" s="65"/>
      <c r="K61" s="65">
        <f>SUM(K58:K60)</f>
        <v>0</v>
      </c>
      <c r="L61" s="65"/>
      <c r="M61" s="67">
        <f>SUM(M58:M60)</f>
        <v>78704</v>
      </c>
      <c r="N61" s="29"/>
      <c r="O61" s="6"/>
    </row>
    <row r="62" spans="1:15" ht="15.75">
      <c r="A62" s="28"/>
      <c r="B62" s="29"/>
      <c r="C62" s="65"/>
      <c r="D62" s="65"/>
      <c r="E62" s="65"/>
      <c r="F62" s="65"/>
      <c r="G62" s="65"/>
      <c r="H62" s="65"/>
      <c r="I62" s="65"/>
      <c r="J62" s="65"/>
      <c r="K62" s="65"/>
      <c r="L62" s="65"/>
      <c r="M62" s="67"/>
      <c r="N62" s="29"/>
      <c r="O62" s="6"/>
    </row>
    <row r="63" spans="1:15" ht="15.75">
      <c r="A63" s="7"/>
      <c r="B63" s="144" t="s">
        <v>44</v>
      </c>
      <c r="C63" s="68"/>
      <c r="D63" s="68"/>
      <c r="E63" s="68"/>
      <c r="F63" s="68"/>
      <c r="G63" s="69"/>
      <c r="H63" s="68"/>
      <c r="I63" s="68"/>
      <c r="J63" s="68"/>
      <c r="K63" s="68"/>
      <c r="L63" s="68"/>
      <c r="M63" s="70"/>
      <c r="N63" s="9"/>
      <c r="O63" s="6"/>
    </row>
    <row r="64" spans="1:15" ht="15.75">
      <c r="A64" s="7"/>
      <c r="B64" s="9"/>
      <c r="C64" s="68"/>
      <c r="D64" s="68"/>
      <c r="E64" s="68"/>
      <c r="F64" s="68"/>
      <c r="G64" s="68"/>
      <c r="H64" s="68"/>
      <c r="I64" s="68"/>
      <c r="J64" s="68"/>
      <c r="K64" s="68"/>
      <c r="L64" s="68"/>
      <c r="M64" s="70"/>
      <c r="N64" s="9"/>
      <c r="O64" s="6"/>
    </row>
    <row r="65" spans="1:15" ht="15.75">
      <c r="A65" s="28"/>
      <c r="B65" s="29" t="s">
        <v>41</v>
      </c>
      <c r="C65" s="65">
        <v>79997</v>
      </c>
      <c r="D65" s="65"/>
      <c r="E65" s="66">
        <v>95253</v>
      </c>
      <c r="F65" s="65"/>
      <c r="G65" s="65">
        <f>11754+40+251</f>
        <v>12045</v>
      </c>
      <c r="H65" s="65"/>
      <c r="I65" s="65">
        <v>10052</v>
      </c>
      <c r="J65" s="65"/>
      <c r="K65" s="65"/>
      <c r="L65" s="65"/>
      <c r="M65" s="66">
        <f>E65-G65+I65-K65</f>
        <v>93260</v>
      </c>
      <c r="N65" s="29"/>
      <c r="O65" s="6"/>
    </row>
    <row r="66" spans="1:15" ht="15.75">
      <c r="A66" s="28"/>
      <c r="B66" s="29" t="s">
        <v>42</v>
      </c>
      <c r="C66" s="65">
        <v>611</v>
      </c>
      <c r="D66" s="65"/>
      <c r="E66" s="66">
        <v>0</v>
      </c>
      <c r="F66" s="65"/>
      <c r="G66" s="65">
        <v>64</v>
      </c>
      <c r="H66" s="65"/>
      <c r="I66" s="65">
        <v>64</v>
      </c>
      <c r="J66" s="65"/>
      <c r="K66" s="65"/>
      <c r="L66" s="65"/>
      <c r="M66" s="66">
        <f>E66-G66+I66-K66</f>
        <v>0</v>
      </c>
      <c r="N66" s="29"/>
      <c r="O66" s="6"/>
    </row>
    <row r="67" spans="1:15" ht="15.75">
      <c r="A67" s="28"/>
      <c r="B67" s="65"/>
      <c r="C67" s="65"/>
      <c r="D67" s="65"/>
      <c r="E67" s="66"/>
      <c r="F67" s="65"/>
      <c r="G67" s="65"/>
      <c r="H67" s="65"/>
      <c r="I67" s="65"/>
      <c r="J67" s="65"/>
      <c r="K67" s="65"/>
      <c r="L67" s="65"/>
      <c r="M67" s="66"/>
      <c r="N67" s="29"/>
      <c r="O67" s="6"/>
    </row>
    <row r="68" spans="1:15" ht="15.75">
      <c r="A68" s="28"/>
      <c r="B68" s="29" t="s">
        <v>43</v>
      </c>
      <c r="C68" s="65">
        <f>SUM(C65:C67)</f>
        <v>80608</v>
      </c>
      <c r="D68" s="65"/>
      <c r="E68" s="65">
        <f>E65</f>
        <v>95253</v>
      </c>
      <c r="F68" s="65"/>
      <c r="G68" s="65">
        <f>SUM(G65:G67)</f>
        <v>12109</v>
      </c>
      <c r="H68" s="65"/>
      <c r="I68" s="65">
        <f>SUM(I65:I67)</f>
        <v>10116</v>
      </c>
      <c r="J68" s="65"/>
      <c r="K68" s="65">
        <f>SUM(K65:K67)</f>
        <v>0</v>
      </c>
      <c r="L68" s="65"/>
      <c r="M68" s="65">
        <f>SUM(M65:M67)</f>
        <v>93260</v>
      </c>
      <c r="N68" s="29"/>
      <c r="O68" s="6"/>
    </row>
    <row r="69" spans="1:15" ht="15.75">
      <c r="A69" s="28"/>
      <c r="B69" s="29"/>
      <c r="C69" s="65"/>
      <c r="D69" s="65"/>
      <c r="E69" s="67"/>
      <c r="F69" s="65"/>
      <c r="G69" s="65"/>
      <c r="H69" s="65"/>
      <c r="I69" s="65"/>
      <c r="J69" s="65"/>
      <c r="K69" s="65"/>
      <c r="L69" s="65"/>
      <c r="M69" s="67"/>
      <c r="N69" s="29"/>
      <c r="O69" s="6"/>
    </row>
    <row r="70" spans="1:15" ht="15.75">
      <c r="A70" s="28"/>
      <c r="B70" s="29" t="s">
        <v>45</v>
      </c>
      <c r="C70" s="65">
        <v>0</v>
      </c>
      <c r="D70" s="65"/>
      <c r="E70" s="65">
        <v>0</v>
      </c>
      <c r="F70" s="65"/>
      <c r="G70" s="65"/>
      <c r="H70" s="65"/>
      <c r="I70" s="65"/>
      <c r="J70" s="65"/>
      <c r="K70" s="65"/>
      <c r="L70" s="65"/>
      <c r="M70" s="65">
        <f>E70+G70</f>
        <v>0</v>
      </c>
      <c r="N70" s="29"/>
      <c r="O70" s="6"/>
    </row>
    <row r="71" spans="1:15" ht="15.75">
      <c r="A71" s="28"/>
      <c r="B71" s="29" t="s">
        <v>46</v>
      </c>
      <c r="C71" s="65">
        <v>0</v>
      </c>
      <c r="D71" s="65"/>
      <c r="E71" s="67">
        <v>2926</v>
      </c>
      <c r="F71" s="65"/>
      <c r="G71" s="65"/>
      <c r="H71" s="65"/>
      <c r="I71" s="65">
        <v>0</v>
      </c>
      <c r="J71" s="65"/>
      <c r="K71" s="65"/>
      <c r="L71" s="65"/>
      <c r="M71" s="67">
        <f>E71+I71</f>
        <v>2926</v>
      </c>
      <c r="N71" s="29"/>
      <c r="O71" s="6"/>
    </row>
    <row r="72" spans="1:15" ht="15.75">
      <c r="A72" s="28"/>
      <c r="B72" s="29" t="s">
        <v>47</v>
      </c>
      <c r="C72" s="65">
        <v>40958</v>
      </c>
      <c r="D72" s="65"/>
      <c r="E72" s="67">
        <v>19623</v>
      </c>
      <c r="F72" s="65"/>
      <c r="G72" s="65">
        <f>G68+G61</f>
        <v>22559</v>
      </c>
      <c r="H72" s="65"/>
      <c r="I72" s="65">
        <f>-I68-I61</f>
        <v>-19988</v>
      </c>
      <c r="J72" s="65"/>
      <c r="K72" s="65"/>
      <c r="L72" s="65"/>
      <c r="M72" s="67">
        <f>E72+G88+I72</f>
        <v>21841</v>
      </c>
      <c r="N72" s="29"/>
      <c r="O72" s="6"/>
    </row>
    <row r="73" spans="1:15" ht="15.75">
      <c r="A73" s="28"/>
      <c r="B73" s="29" t="s">
        <v>48</v>
      </c>
      <c r="C73" s="65">
        <v>0</v>
      </c>
      <c r="D73" s="65"/>
      <c r="E73" s="67">
        <v>935</v>
      </c>
      <c r="F73" s="65"/>
      <c r="G73" s="65"/>
      <c r="H73" s="65"/>
      <c r="I73" s="65">
        <v>-353</v>
      </c>
      <c r="J73" s="65"/>
      <c r="K73" s="65"/>
      <c r="L73" s="65"/>
      <c r="M73" s="67">
        <f>-I73+E73</f>
        <v>1288</v>
      </c>
      <c r="N73" s="29"/>
      <c r="O73" s="6"/>
    </row>
    <row r="74" spans="1:15" ht="15.75">
      <c r="A74" s="28"/>
      <c r="B74" s="29" t="s">
        <v>49</v>
      </c>
      <c r="C74" s="65">
        <v>-95</v>
      </c>
      <c r="D74" s="65"/>
      <c r="E74" s="67">
        <v>-95</v>
      </c>
      <c r="F74" s="65"/>
      <c r="G74" s="65">
        <v>0</v>
      </c>
      <c r="H74" s="65"/>
      <c r="I74" s="65"/>
      <c r="J74" s="65"/>
      <c r="K74" s="65"/>
      <c r="L74" s="65"/>
      <c r="M74" s="67">
        <f>E74+G74</f>
        <v>-95</v>
      </c>
      <c r="N74" s="29"/>
      <c r="O74" s="6"/>
    </row>
    <row r="75" spans="1:15" ht="15.75">
      <c r="A75" s="28"/>
      <c r="B75" s="29" t="s">
        <v>50</v>
      </c>
      <c r="C75" s="65">
        <v>0</v>
      </c>
      <c r="D75" s="65"/>
      <c r="E75" s="67">
        <v>0</v>
      </c>
      <c r="F75" s="65"/>
      <c r="G75" s="65"/>
      <c r="H75" s="65"/>
      <c r="I75" s="71"/>
      <c r="J75" s="65"/>
      <c r="K75" s="65"/>
      <c r="L75" s="65"/>
      <c r="M75" s="67">
        <v>0</v>
      </c>
      <c r="N75" s="29"/>
      <c r="O75" s="6"/>
    </row>
    <row r="76" spans="1:15" ht="15.75">
      <c r="A76" s="28"/>
      <c r="B76" s="29" t="s">
        <v>19</v>
      </c>
      <c r="C76" s="67">
        <f>SUM(C68:C74)+C61</f>
        <v>194998</v>
      </c>
      <c r="D76" s="67"/>
      <c r="E76" s="67">
        <f>SUM(E68:E75)+E61</f>
        <v>197924</v>
      </c>
      <c r="F76" s="65"/>
      <c r="G76" s="65">
        <f>G72-G74</f>
        <v>22559</v>
      </c>
      <c r="H76" s="65"/>
      <c r="I76" s="65"/>
      <c r="J76" s="65"/>
      <c r="K76" s="65"/>
      <c r="L76" s="65"/>
      <c r="M76" s="67">
        <f>SUM(M68:M75)+M61</f>
        <v>197924</v>
      </c>
      <c r="N76" s="29"/>
      <c r="O76" s="6"/>
    </row>
    <row r="77" spans="1:15" ht="15.75">
      <c r="A77" s="28"/>
      <c r="B77" s="65"/>
      <c r="C77" s="65"/>
      <c r="D77" s="65"/>
      <c r="E77" s="65"/>
      <c r="F77" s="65"/>
      <c r="G77" s="65"/>
      <c r="H77" s="65"/>
      <c r="I77" s="65"/>
      <c r="J77" s="65"/>
      <c r="K77" s="65"/>
      <c r="L77" s="65"/>
      <c r="M77" s="65"/>
      <c r="N77" s="29"/>
      <c r="O77" s="6"/>
    </row>
    <row r="78" spans="1:15" ht="15.75">
      <c r="A78" s="7"/>
      <c r="B78" s="68"/>
      <c r="C78" s="9"/>
      <c r="D78" s="9"/>
      <c r="E78" s="9"/>
      <c r="F78" s="9"/>
      <c r="G78" s="20" t="s">
        <v>192</v>
      </c>
      <c r="H78" s="9"/>
      <c r="I78" s="9"/>
      <c r="J78" s="9"/>
      <c r="K78" s="23"/>
      <c r="L78" s="9"/>
      <c r="M78" s="20" t="s">
        <v>192</v>
      </c>
      <c r="N78" s="9"/>
      <c r="O78" s="6"/>
    </row>
    <row r="79" spans="1:15" ht="15.75">
      <c r="A79" s="7"/>
      <c r="B79" s="63" t="s">
        <v>51</v>
      </c>
      <c r="C79" s="17"/>
      <c r="D79" s="17" t="s">
        <v>178</v>
      </c>
      <c r="E79" s="17" t="s">
        <v>181</v>
      </c>
      <c r="F79" s="17"/>
      <c r="G79" s="20" t="s">
        <v>193</v>
      </c>
      <c r="H79" s="17"/>
      <c r="I79" s="17" t="s">
        <v>178</v>
      </c>
      <c r="J79" s="20"/>
      <c r="K79" s="20" t="s">
        <v>181</v>
      </c>
      <c r="L79" s="20"/>
      <c r="M79" s="20" t="s">
        <v>223</v>
      </c>
      <c r="N79" s="17"/>
      <c r="O79" s="6"/>
    </row>
    <row r="80" spans="1:15" ht="15.75">
      <c r="A80" s="28"/>
      <c r="B80" s="29" t="s">
        <v>52</v>
      </c>
      <c r="C80" s="29"/>
      <c r="D80" s="29">
        <v>0</v>
      </c>
      <c r="E80" s="29">
        <v>0</v>
      </c>
      <c r="F80" s="29"/>
      <c r="G80" s="65">
        <f>SUM(C80:E80)</f>
        <v>0</v>
      </c>
      <c r="H80" s="29"/>
      <c r="I80" s="29">
        <v>0</v>
      </c>
      <c r="J80" s="29"/>
      <c r="K80" s="65">
        <f>SUM(G80:I80)</f>
        <v>0</v>
      </c>
      <c r="L80" s="29"/>
      <c r="M80" s="66">
        <v>0</v>
      </c>
      <c r="N80" s="29"/>
      <c r="O80" s="6"/>
    </row>
    <row r="81" spans="1:15" ht="15.75">
      <c r="A81" s="28"/>
      <c r="B81" s="29" t="s">
        <v>53</v>
      </c>
      <c r="C81" s="53"/>
      <c r="D81" s="29">
        <v>10336</v>
      </c>
      <c r="E81" s="29">
        <v>11754</v>
      </c>
      <c r="F81" s="29"/>
      <c r="G81" s="65">
        <f>E81+D81</f>
        <v>22090</v>
      </c>
      <c r="H81" s="29"/>
      <c r="I81" s="29"/>
      <c r="J81" s="29"/>
      <c r="K81" s="65">
        <v>0</v>
      </c>
      <c r="L81" s="29"/>
      <c r="M81" s="66"/>
      <c r="N81" s="29"/>
      <c r="O81" s="6"/>
    </row>
    <row r="82" spans="1:15" ht="15.75">
      <c r="A82" s="28"/>
      <c r="B82" s="29" t="s">
        <v>54</v>
      </c>
      <c r="C82" s="29"/>
      <c r="D82" s="29"/>
      <c r="E82" s="29"/>
      <c r="F82" s="29"/>
      <c r="G82" s="65"/>
      <c r="H82" s="29"/>
      <c r="I82" s="29">
        <f>1444+211+1519+233+1397+178-1987+12</f>
        <v>3007</v>
      </c>
      <c r="J82" s="29"/>
      <c r="K82" s="65">
        <f>3081+208+3346+146+3204+202-6447+3</f>
        <v>3743</v>
      </c>
      <c r="L82" s="29"/>
      <c r="M82" s="66">
        <f>K82+I82</f>
        <v>6750</v>
      </c>
      <c r="N82" s="29"/>
      <c r="O82" s="6"/>
    </row>
    <row r="83" spans="1:15" ht="15.75">
      <c r="A83" s="28"/>
      <c r="B83" s="29" t="s">
        <v>55</v>
      </c>
      <c r="C83" s="29"/>
      <c r="D83" s="29"/>
      <c r="E83" s="29"/>
      <c r="F83" s="29"/>
      <c r="G83" s="65"/>
      <c r="H83" s="29"/>
      <c r="I83" s="29"/>
      <c r="J83" s="29"/>
      <c r="K83" s="65"/>
      <c r="L83" s="29"/>
      <c r="M83" s="66">
        <f>98+80+93</f>
        <v>271</v>
      </c>
      <c r="N83" s="29"/>
      <c r="O83" s="6"/>
    </row>
    <row r="84" spans="1:15" ht="15.75">
      <c r="A84" s="28"/>
      <c r="B84" s="29" t="s">
        <v>56</v>
      </c>
      <c r="C84" s="29"/>
      <c r="D84" s="29"/>
      <c r="E84" s="29"/>
      <c r="F84" s="29"/>
      <c r="G84" s="65"/>
      <c r="H84" s="29"/>
      <c r="I84" s="29"/>
      <c r="J84" s="29"/>
      <c r="K84" s="65"/>
      <c r="L84" s="29"/>
      <c r="M84" s="66">
        <v>0</v>
      </c>
      <c r="N84" s="29"/>
      <c r="O84" s="6"/>
    </row>
    <row r="85" spans="1:15" ht="15.75">
      <c r="A85" s="28"/>
      <c r="B85" s="29" t="s">
        <v>57</v>
      </c>
      <c r="C85" s="29"/>
      <c r="D85" s="29"/>
      <c r="E85" s="29"/>
      <c r="F85" s="29"/>
      <c r="G85" s="65"/>
      <c r="H85" s="29"/>
      <c r="I85" s="29"/>
      <c r="J85" s="29"/>
      <c r="K85" s="65"/>
      <c r="L85" s="29"/>
      <c r="M85" s="66">
        <v>0</v>
      </c>
      <c r="N85" s="29"/>
      <c r="O85" s="6"/>
    </row>
    <row r="86" spans="1:15" ht="15.75">
      <c r="A86" s="28"/>
      <c r="B86" s="29" t="s">
        <v>58</v>
      </c>
      <c r="C86" s="29"/>
      <c r="D86" s="65">
        <f>SUM(D80:D85)</f>
        <v>10336</v>
      </c>
      <c r="E86" s="65">
        <f>SUM(E80:E85)</f>
        <v>11754</v>
      </c>
      <c r="F86" s="29"/>
      <c r="G86" s="65">
        <f>SUM(G80:G85)</f>
        <v>22090</v>
      </c>
      <c r="H86" s="29"/>
      <c r="I86" s="65">
        <f>SUM(I80:I85)</f>
        <v>3007</v>
      </c>
      <c r="J86" s="29"/>
      <c r="K86" s="65">
        <f>SUM(K80:K85)</f>
        <v>3743</v>
      </c>
      <c r="L86" s="29"/>
      <c r="M86" s="67">
        <f>SUM(M80:M85)</f>
        <v>7021</v>
      </c>
      <c r="N86" s="29"/>
      <c r="O86" s="6"/>
    </row>
    <row r="87" spans="1:15" ht="15.75">
      <c r="A87" s="28"/>
      <c r="B87" s="29" t="s">
        <v>59</v>
      </c>
      <c r="C87" s="29"/>
      <c r="D87" s="65">
        <f>G59</f>
        <v>52</v>
      </c>
      <c r="E87" s="65">
        <f>G66</f>
        <v>64</v>
      </c>
      <c r="F87" s="29"/>
      <c r="G87" s="65">
        <f>E87+D87</f>
        <v>116</v>
      </c>
      <c r="H87" s="29"/>
      <c r="I87" s="65">
        <v>0</v>
      </c>
      <c r="J87" s="29"/>
      <c r="K87" s="65">
        <v>0</v>
      </c>
      <c r="L87" s="29"/>
      <c r="M87" s="66">
        <f>-G87</f>
        <v>-116</v>
      </c>
      <c r="N87" s="29"/>
      <c r="O87" s="6"/>
    </row>
    <row r="88" spans="1:15" ht="15.75">
      <c r="A88" s="28"/>
      <c r="B88" s="29" t="s">
        <v>60</v>
      </c>
      <c r="C88" s="29"/>
      <c r="D88" s="65">
        <f>D86+D87</f>
        <v>10388</v>
      </c>
      <c r="E88" s="65">
        <f>E86+E87</f>
        <v>11818</v>
      </c>
      <c r="F88" s="29"/>
      <c r="G88" s="65">
        <f>G86+G87</f>
        <v>22206</v>
      </c>
      <c r="H88" s="29"/>
      <c r="I88" s="65">
        <f>I86+I87</f>
        <v>3007</v>
      </c>
      <c r="J88" s="29"/>
      <c r="K88" s="65">
        <f>K86+K87</f>
        <v>3743</v>
      </c>
      <c r="L88" s="29"/>
      <c r="M88" s="67">
        <f>M86+M87</f>
        <v>6905</v>
      </c>
      <c r="N88" s="29"/>
      <c r="O88" s="6"/>
    </row>
    <row r="89" spans="1:15" ht="15.75">
      <c r="A89" s="28"/>
      <c r="B89" s="157" t="s">
        <v>61</v>
      </c>
      <c r="C89" s="72"/>
      <c r="D89" s="72"/>
      <c r="E89" s="29"/>
      <c r="F89" s="29"/>
      <c r="G89" s="29"/>
      <c r="H89" s="29"/>
      <c r="I89" s="29"/>
      <c r="J89" s="29"/>
      <c r="K89" s="65"/>
      <c r="L89" s="29"/>
      <c r="M89" s="66"/>
      <c r="N89" s="29"/>
      <c r="O89" s="6"/>
    </row>
    <row r="90" spans="1:15" ht="15.75">
      <c r="A90" s="28">
        <v>1</v>
      </c>
      <c r="B90" s="29" t="s">
        <v>62</v>
      </c>
      <c r="C90" s="29"/>
      <c r="D90" s="29"/>
      <c r="E90" s="29"/>
      <c r="F90" s="29"/>
      <c r="G90" s="29"/>
      <c r="H90" s="29"/>
      <c r="I90" s="29"/>
      <c r="J90" s="29"/>
      <c r="K90" s="29"/>
      <c r="L90" s="29"/>
      <c r="M90" s="66">
        <v>-4</v>
      </c>
      <c r="N90" s="29"/>
      <c r="O90" s="6"/>
    </row>
    <row r="91" spans="1:15" ht="15.75">
      <c r="A91" s="28">
        <v>2</v>
      </c>
      <c r="B91" s="29" t="s">
        <v>63</v>
      </c>
      <c r="C91" s="29"/>
      <c r="D91" s="29"/>
      <c r="E91" s="29"/>
      <c r="F91" s="29"/>
      <c r="G91" s="29"/>
      <c r="H91" s="29"/>
      <c r="I91" s="29"/>
      <c r="J91" s="29"/>
      <c r="K91" s="29"/>
      <c r="L91" s="29"/>
      <c r="M91" s="66">
        <v>-283</v>
      </c>
      <c r="N91" s="29"/>
      <c r="O91" s="6"/>
    </row>
    <row r="92" spans="1:15" ht="15.75">
      <c r="A92" s="28">
        <v>3</v>
      </c>
      <c r="B92" s="29" t="s">
        <v>64</v>
      </c>
      <c r="C92" s="29"/>
      <c r="D92" s="29"/>
      <c r="E92" s="29"/>
      <c r="F92" s="29"/>
      <c r="G92" s="29"/>
      <c r="H92" s="29"/>
      <c r="I92" s="29"/>
      <c r="J92" s="29"/>
      <c r="K92" s="29"/>
      <c r="L92" s="29"/>
      <c r="M92" s="66">
        <v>-1838</v>
      </c>
      <c r="N92" s="29"/>
      <c r="O92" s="6"/>
    </row>
    <row r="93" spans="1:15" ht="15.75">
      <c r="A93" s="28">
        <v>4</v>
      </c>
      <c r="B93" s="29" t="s">
        <v>227</v>
      </c>
      <c r="C93" s="29"/>
      <c r="D93" s="29"/>
      <c r="E93" s="29"/>
      <c r="F93" s="29"/>
      <c r="G93" s="29"/>
      <c r="H93" s="29"/>
      <c r="I93" s="29"/>
      <c r="J93" s="29"/>
      <c r="K93" s="29"/>
      <c r="L93" s="29"/>
      <c r="M93" s="66">
        <v>-414</v>
      </c>
      <c r="N93" s="29"/>
      <c r="O93" s="6"/>
    </row>
    <row r="94" spans="1:15" ht="15.75">
      <c r="A94" s="28">
        <v>4</v>
      </c>
      <c r="B94" s="29" t="s">
        <v>65</v>
      </c>
      <c r="C94" s="29"/>
      <c r="D94" s="29"/>
      <c r="E94" s="29"/>
      <c r="F94" s="29"/>
      <c r="G94" s="29"/>
      <c r="H94" s="29"/>
      <c r="I94" s="29"/>
      <c r="J94" s="29"/>
      <c r="K94" s="29"/>
      <c r="L94" s="29"/>
      <c r="M94" s="66">
        <v>-3</v>
      </c>
      <c r="N94" s="29"/>
      <c r="O94" s="6"/>
    </row>
    <row r="95" spans="1:15" ht="15.75">
      <c r="A95" s="28">
        <v>5</v>
      </c>
      <c r="B95" s="29" t="s">
        <v>66</v>
      </c>
      <c r="C95" s="29"/>
      <c r="D95" s="29"/>
      <c r="E95" s="29"/>
      <c r="F95" s="29"/>
      <c r="G95" s="29"/>
      <c r="H95" s="29"/>
      <c r="I95" s="29"/>
      <c r="J95" s="29"/>
      <c r="K95" s="29"/>
      <c r="L95" s="29"/>
      <c r="M95" s="66">
        <v>-198</v>
      </c>
      <c r="N95" s="29"/>
      <c r="O95" s="6"/>
    </row>
    <row r="96" spans="1:15" ht="15.75">
      <c r="A96" s="28">
        <v>6</v>
      </c>
      <c r="B96" s="29" t="s">
        <v>67</v>
      </c>
      <c r="C96" s="29"/>
      <c r="D96" s="29"/>
      <c r="E96" s="29"/>
      <c r="F96" s="29"/>
      <c r="G96" s="29"/>
      <c r="H96" s="29"/>
      <c r="I96" s="29"/>
      <c r="J96" s="29"/>
      <c r="K96" s="29"/>
      <c r="L96" s="29"/>
      <c r="M96" s="66">
        <v>-141</v>
      </c>
      <c r="N96" s="29"/>
      <c r="O96" s="6"/>
    </row>
    <row r="97" spans="1:15" ht="15.75">
      <c r="A97" s="28">
        <v>7</v>
      </c>
      <c r="B97" s="29" t="s">
        <v>68</v>
      </c>
      <c r="C97" s="29"/>
      <c r="D97" s="29"/>
      <c r="E97" s="29"/>
      <c r="F97" s="29"/>
      <c r="G97" s="29"/>
      <c r="H97" s="29"/>
      <c r="I97" s="29"/>
      <c r="J97" s="29"/>
      <c r="K97" s="29"/>
      <c r="L97" s="29"/>
      <c r="M97" s="66">
        <v>0</v>
      </c>
      <c r="N97" s="29"/>
      <c r="O97" s="6"/>
    </row>
    <row r="98" spans="1:15" ht="15.75">
      <c r="A98" s="28">
        <v>8</v>
      </c>
      <c r="B98" s="29" t="s">
        <v>69</v>
      </c>
      <c r="C98" s="29"/>
      <c r="D98" s="29"/>
      <c r="E98" s="29"/>
      <c r="F98" s="29"/>
      <c r="G98" s="29"/>
      <c r="H98" s="29"/>
      <c r="I98" s="29"/>
      <c r="J98" s="29"/>
      <c r="K98" s="65">
        <f>-M98</f>
        <v>353</v>
      </c>
      <c r="L98" s="29"/>
      <c r="M98" s="66">
        <f>I73</f>
        <v>-353</v>
      </c>
      <c r="N98" s="29"/>
      <c r="O98" s="6"/>
    </row>
    <row r="99" spans="1:15" ht="15.75">
      <c r="A99" s="28">
        <v>9</v>
      </c>
      <c r="B99" s="29" t="s">
        <v>46</v>
      </c>
      <c r="C99" s="29"/>
      <c r="D99" s="29"/>
      <c r="E99" s="29"/>
      <c r="F99" s="29"/>
      <c r="G99" s="29"/>
      <c r="H99" s="29"/>
      <c r="I99" s="29"/>
      <c r="J99" s="29"/>
      <c r="K99" s="65">
        <f>-M99</f>
        <v>0</v>
      </c>
      <c r="L99" s="29"/>
      <c r="M99" s="66">
        <v>0</v>
      </c>
      <c r="N99" s="29"/>
      <c r="O99" s="6"/>
    </row>
    <row r="100" spans="1:15" ht="15.75">
      <c r="A100" s="28">
        <v>10</v>
      </c>
      <c r="B100" s="29" t="s">
        <v>228</v>
      </c>
      <c r="C100" s="29"/>
      <c r="D100" s="29"/>
      <c r="E100" s="29"/>
      <c r="F100" s="29"/>
      <c r="G100" s="29"/>
      <c r="H100" s="29"/>
      <c r="I100" s="29"/>
      <c r="J100" s="29"/>
      <c r="K100" s="29"/>
      <c r="L100" s="29"/>
      <c r="M100" s="66">
        <v>-128</v>
      </c>
      <c r="N100" s="29"/>
      <c r="O100" s="6"/>
    </row>
    <row r="101" spans="1:15" ht="15.75">
      <c r="A101" s="28">
        <v>11</v>
      </c>
      <c r="B101" s="29" t="s">
        <v>71</v>
      </c>
      <c r="C101" s="29"/>
      <c r="D101" s="29"/>
      <c r="E101" s="29"/>
      <c r="F101" s="29"/>
      <c r="G101" s="29"/>
      <c r="H101" s="29"/>
      <c r="I101" s="29"/>
      <c r="J101" s="29"/>
      <c r="K101" s="29"/>
      <c r="L101" s="29"/>
      <c r="M101" s="66">
        <f>SUM(M88:M100)*-1</f>
        <v>-3543</v>
      </c>
      <c r="N101" s="29"/>
      <c r="O101" s="6"/>
    </row>
    <row r="102" spans="1:15" ht="15.75">
      <c r="A102" s="28"/>
      <c r="B102" s="157" t="s">
        <v>72</v>
      </c>
      <c r="C102" s="72"/>
      <c r="D102" s="72"/>
      <c r="E102" s="29"/>
      <c r="F102" s="29"/>
      <c r="G102" s="29"/>
      <c r="H102" s="29"/>
      <c r="I102" s="29"/>
      <c r="J102" s="29"/>
      <c r="K102" s="29"/>
      <c r="L102" s="29"/>
      <c r="M102" s="73"/>
      <c r="N102" s="29"/>
      <c r="O102" s="6"/>
    </row>
    <row r="103" spans="1:15" ht="15.75">
      <c r="A103" s="28"/>
      <c r="B103" s="74" t="s">
        <v>73</v>
      </c>
      <c r="C103" s="72"/>
      <c r="D103" s="72"/>
      <c r="E103" s="29"/>
      <c r="F103" s="29"/>
      <c r="G103" s="29"/>
      <c r="H103" s="29"/>
      <c r="I103" s="29"/>
      <c r="J103" s="29"/>
      <c r="K103" s="65">
        <f>E72</f>
        <v>19623</v>
      </c>
      <c r="L103" s="29"/>
      <c r="M103" s="73"/>
      <c r="N103" s="29"/>
      <c r="O103" s="6"/>
    </row>
    <row r="104" spans="1:15" ht="15.75">
      <c r="A104" s="28"/>
      <c r="B104" s="74" t="s">
        <v>74</v>
      </c>
      <c r="C104" s="72"/>
      <c r="D104" s="72"/>
      <c r="E104" s="29"/>
      <c r="F104" s="29"/>
      <c r="G104" s="29"/>
      <c r="H104" s="29"/>
      <c r="I104" s="29"/>
      <c r="J104" s="29"/>
      <c r="K104" s="65">
        <f>G88</f>
        <v>22206</v>
      </c>
      <c r="L104" s="29"/>
      <c r="M104" s="73"/>
      <c r="N104" s="29"/>
      <c r="O104" s="6"/>
    </row>
    <row r="105" spans="1:15" ht="15.75">
      <c r="A105" s="75"/>
      <c r="B105" s="29" t="s">
        <v>75</v>
      </c>
      <c r="C105" s="72"/>
      <c r="D105" s="72"/>
      <c r="E105" s="29"/>
      <c r="F105" s="29"/>
      <c r="G105" s="29"/>
      <c r="H105" s="29"/>
      <c r="I105" s="29"/>
      <c r="J105" s="29"/>
      <c r="K105" s="65">
        <f>-I68-I61</f>
        <v>-19988</v>
      </c>
      <c r="L105" s="29"/>
      <c r="M105" s="73"/>
      <c r="N105" s="29"/>
      <c r="O105" s="6"/>
    </row>
    <row r="106" spans="1:15" ht="15.75">
      <c r="A106" s="28"/>
      <c r="B106" s="29" t="s">
        <v>76</v>
      </c>
      <c r="C106" s="72"/>
      <c r="D106" s="72"/>
      <c r="E106" s="29"/>
      <c r="F106" s="29"/>
      <c r="G106" s="29"/>
      <c r="H106" s="29"/>
      <c r="I106" s="29"/>
      <c r="J106" s="29"/>
      <c r="K106" s="65">
        <v>0</v>
      </c>
      <c r="L106" s="65"/>
      <c r="M106" s="66"/>
      <c r="N106" s="29"/>
      <c r="O106" s="6"/>
    </row>
    <row r="107" spans="1:15" ht="15.75">
      <c r="A107" s="28"/>
      <c r="B107" s="29" t="s">
        <v>77</v>
      </c>
      <c r="C107" s="29"/>
      <c r="D107" s="29"/>
      <c r="E107" s="29"/>
      <c r="F107" s="29"/>
      <c r="G107" s="29"/>
      <c r="H107" s="29"/>
      <c r="I107" s="29"/>
      <c r="J107" s="29"/>
      <c r="K107" s="65">
        <v>0</v>
      </c>
      <c r="L107" s="65"/>
      <c r="M107" s="66"/>
      <c r="N107" s="29"/>
      <c r="O107" s="6"/>
    </row>
    <row r="108" spans="1:15" ht="15.75">
      <c r="A108" s="28"/>
      <c r="B108" s="29" t="s">
        <v>78</v>
      </c>
      <c r="C108" s="29"/>
      <c r="D108" s="29"/>
      <c r="E108" s="29"/>
      <c r="F108" s="29"/>
      <c r="G108" s="29"/>
      <c r="H108" s="29"/>
      <c r="I108" s="29"/>
      <c r="J108" s="29"/>
      <c r="K108" s="65">
        <v>0</v>
      </c>
      <c r="L108" s="65"/>
      <c r="M108" s="66"/>
      <c r="N108" s="29"/>
      <c r="O108" s="6"/>
    </row>
    <row r="109" spans="1:15" ht="15.75">
      <c r="A109" s="28"/>
      <c r="B109" s="29" t="s">
        <v>79</v>
      </c>
      <c r="C109" s="29"/>
      <c r="D109" s="29"/>
      <c r="E109" s="29"/>
      <c r="F109" s="29"/>
      <c r="G109" s="29"/>
      <c r="H109" s="29"/>
      <c r="I109" s="29"/>
      <c r="J109" s="29"/>
      <c r="K109" s="65">
        <v>0</v>
      </c>
      <c r="L109" s="65"/>
      <c r="M109" s="66"/>
      <c r="N109" s="29"/>
      <c r="O109" s="6"/>
    </row>
    <row r="110" spans="1:15" ht="15.75">
      <c r="A110" s="28"/>
      <c r="B110" s="29" t="s">
        <v>80</v>
      </c>
      <c r="C110" s="29"/>
      <c r="D110" s="29"/>
      <c r="E110" s="29"/>
      <c r="F110" s="29"/>
      <c r="G110" s="29"/>
      <c r="H110" s="29"/>
      <c r="I110" s="29"/>
      <c r="J110" s="29"/>
      <c r="K110" s="65">
        <v>0</v>
      </c>
      <c r="L110" s="65"/>
      <c r="M110" s="66"/>
      <c r="N110" s="29"/>
      <c r="O110" s="6"/>
    </row>
    <row r="111" spans="1:15" ht="15.75">
      <c r="A111" s="28"/>
      <c r="B111" s="29" t="s">
        <v>81</v>
      </c>
      <c r="C111" s="29"/>
      <c r="D111" s="29"/>
      <c r="E111" s="29"/>
      <c r="F111" s="29"/>
      <c r="G111" s="29"/>
      <c r="H111" s="29"/>
      <c r="I111" s="29"/>
      <c r="J111" s="29"/>
      <c r="K111" s="65">
        <v>0</v>
      </c>
      <c r="L111" s="65"/>
      <c r="M111" s="66"/>
      <c r="N111" s="29"/>
      <c r="O111" s="6"/>
    </row>
    <row r="112" spans="1:15" ht="15.75">
      <c r="A112" s="28"/>
      <c r="B112" s="29" t="s">
        <v>82</v>
      </c>
      <c r="C112" s="29"/>
      <c r="D112" s="29"/>
      <c r="E112" s="29"/>
      <c r="F112" s="29"/>
      <c r="G112" s="29"/>
      <c r="H112" s="29"/>
      <c r="I112" s="29"/>
      <c r="J112" s="29"/>
      <c r="K112" s="65">
        <f>SUM(K105:K111)</f>
        <v>-19988</v>
      </c>
      <c r="L112" s="65"/>
      <c r="M112" s="65">
        <f>SUM(M89:M101)</f>
        <v>-6905</v>
      </c>
      <c r="N112" s="29"/>
      <c r="O112" s="6"/>
    </row>
    <row r="113" spans="1:15" ht="15.75">
      <c r="A113" s="28"/>
      <c r="B113" s="29" t="s">
        <v>83</v>
      </c>
      <c r="C113" s="29"/>
      <c r="D113" s="29"/>
      <c r="E113" s="29"/>
      <c r="F113" s="29"/>
      <c r="G113" s="29"/>
      <c r="H113" s="29"/>
      <c r="I113" s="29"/>
      <c r="J113" s="29"/>
      <c r="K113" s="65">
        <f>SUM(K103:K111)+SUM(K98:K99)</f>
        <v>22194</v>
      </c>
      <c r="L113" s="65"/>
      <c r="M113" s="65">
        <f>M88+M112</f>
        <v>0</v>
      </c>
      <c r="N113" s="29"/>
      <c r="O113" s="6"/>
    </row>
    <row r="114" spans="1:15" ht="15.75">
      <c r="A114" s="28"/>
      <c r="B114" s="29"/>
      <c r="C114" s="29"/>
      <c r="D114" s="29"/>
      <c r="E114" s="29"/>
      <c r="F114" s="29"/>
      <c r="G114" s="29"/>
      <c r="H114" s="29"/>
      <c r="I114" s="29"/>
      <c r="J114" s="29"/>
      <c r="K114" s="65"/>
      <c r="L114" s="65"/>
      <c r="M114" s="65"/>
      <c r="N114" s="29"/>
      <c r="O114" s="6"/>
    </row>
    <row r="115" spans="1:15" ht="15.75">
      <c r="A115" s="7"/>
      <c r="B115" s="14"/>
      <c r="C115" s="9"/>
      <c r="D115" s="9"/>
      <c r="E115" s="9"/>
      <c r="F115" s="9"/>
      <c r="G115" s="9"/>
      <c r="H115" s="9"/>
      <c r="I115" s="9"/>
      <c r="J115" s="9"/>
      <c r="K115" s="68"/>
      <c r="L115" s="68"/>
      <c r="M115" s="68"/>
      <c r="N115" s="9"/>
      <c r="O115" s="6"/>
    </row>
    <row r="116" spans="1:15" ht="16.5" thickBot="1">
      <c r="A116" s="134"/>
      <c r="B116" s="135" t="s">
        <v>240</v>
      </c>
      <c r="C116" s="136"/>
      <c r="D116" s="136"/>
      <c r="E116" s="136"/>
      <c r="F116" s="136"/>
      <c r="G116" s="136"/>
      <c r="H116" s="136"/>
      <c r="I116" s="136"/>
      <c r="J116" s="136"/>
      <c r="K116" s="139"/>
      <c r="L116" s="139"/>
      <c r="M116" s="139"/>
      <c r="N116" s="138"/>
      <c r="O116" s="6"/>
    </row>
    <row r="117" spans="1:15" ht="15.75">
      <c r="A117" s="2"/>
      <c r="B117" s="5"/>
      <c r="C117" s="5"/>
      <c r="D117" s="5"/>
      <c r="E117" s="5"/>
      <c r="F117" s="5"/>
      <c r="G117" s="5"/>
      <c r="H117" s="5"/>
      <c r="I117" s="5"/>
      <c r="J117" s="5"/>
      <c r="K117" s="76"/>
      <c r="L117" s="76"/>
      <c r="M117" s="76"/>
      <c r="N117" s="5"/>
      <c r="O117" s="6"/>
    </row>
    <row r="118" spans="1:15" ht="15.75">
      <c r="A118" s="7"/>
      <c r="B118" s="9"/>
      <c r="C118" s="9"/>
      <c r="D118" s="9"/>
      <c r="E118" s="9"/>
      <c r="F118" s="9"/>
      <c r="G118" s="9"/>
      <c r="H118" s="9"/>
      <c r="I118" s="9"/>
      <c r="J118" s="9"/>
      <c r="K118" s="9"/>
      <c r="L118" s="9"/>
      <c r="M118" s="64"/>
      <c r="N118" s="9"/>
      <c r="O118" s="6"/>
    </row>
    <row r="119" spans="1:15" ht="15.75">
      <c r="A119" s="77"/>
      <c r="B119" s="78"/>
      <c r="C119" s="78"/>
      <c r="D119" s="78"/>
      <c r="E119" s="78"/>
      <c r="F119" s="78"/>
      <c r="G119" s="78"/>
      <c r="H119" s="78"/>
      <c r="I119" s="78"/>
      <c r="J119" s="78"/>
      <c r="K119" s="78"/>
      <c r="L119" s="78"/>
      <c r="M119" s="79"/>
      <c r="N119" s="78"/>
      <c r="O119" s="6"/>
    </row>
    <row r="120" spans="1:15" ht="15.75">
      <c r="A120" s="77"/>
      <c r="B120" s="80" t="s">
        <v>84</v>
      </c>
      <c r="C120" s="78"/>
      <c r="D120" s="78"/>
      <c r="E120" s="78"/>
      <c r="F120" s="78"/>
      <c r="G120" s="78"/>
      <c r="H120" s="78"/>
      <c r="I120" s="78"/>
      <c r="J120" s="78"/>
      <c r="K120" s="78"/>
      <c r="L120" s="78"/>
      <c r="M120" s="79"/>
      <c r="N120" s="81"/>
      <c r="O120" s="6"/>
    </row>
    <row r="121" spans="1:15" ht="15.75">
      <c r="A121" s="77"/>
      <c r="B121" s="78"/>
      <c r="C121" s="78"/>
      <c r="D121" s="78"/>
      <c r="E121" s="78"/>
      <c r="F121" s="78"/>
      <c r="G121" s="78"/>
      <c r="H121" s="78"/>
      <c r="I121" s="78"/>
      <c r="J121" s="78"/>
      <c r="K121" s="78"/>
      <c r="L121" s="78"/>
      <c r="M121" s="79"/>
      <c r="N121" s="78"/>
      <c r="O121" s="6"/>
    </row>
    <row r="122" spans="1:15" ht="15.75">
      <c r="A122" s="7"/>
      <c r="B122" s="158" t="s">
        <v>85</v>
      </c>
      <c r="C122" s="15"/>
      <c r="D122" s="15"/>
      <c r="E122" s="9"/>
      <c r="F122" s="9"/>
      <c r="G122" s="9"/>
      <c r="H122" s="9"/>
      <c r="I122" s="9"/>
      <c r="J122" s="9"/>
      <c r="K122" s="9"/>
      <c r="L122" s="9"/>
      <c r="M122" s="64"/>
      <c r="N122" s="9"/>
      <c r="O122" s="6"/>
    </row>
    <row r="123" spans="1:15" ht="15.75">
      <c r="A123" s="28"/>
      <c r="B123" s="29" t="s">
        <v>86</v>
      </c>
      <c r="C123" s="29"/>
      <c r="D123" s="29"/>
      <c r="E123" s="29"/>
      <c r="F123" s="29"/>
      <c r="G123" s="29"/>
      <c r="H123" s="29"/>
      <c r="I123" s="29"/>
      <c r="J123" s="29"/>
      <c r="K123" s="29"/>
      <c r="L123" s="29"/>
      <c r="M123" s="66">
        <v>5852</v>
      </c>
      <c r="N123" s="29"/>
      <c r="O123" s="6"/>
    </row>
    <row r="124" spans="1:15" ht="15.75">
      <c r="A124" s="28"/>
      <c r="B124" s="29" t="s">
        <v>87</v>
      </c>
      <c r="C124" s="29"/>
      <c r="D124" s="29"/>
      <c r="E124" s="29"/>
      <c r="F124" s="29"/>
      <c r="G124" s="29"/>
      <c r="H124" s="29"/>
      <c r="I124" s="29"/>
      <c r="J124" s="29"/>
      <c r="K124" s="29"/>
      <c r="L124" s="29"/>
      <c r="M124" s="66">
        <v>0</v>
      </c>
      <c r="N124" s="29"/>
      <c r="O124" s="6"/>
    </row>
    <row r="125" spans="1:15" ht="15.75">
      <c r="A125" s="28"/>
      <c r="B125" s="29" t="s">
        <v>88</v>
      </c>
      <c r="C125" s="29"/>
      <c r="D125" s="29"/>
      <c r="E125" s="29"/>
      <c r="F125" s="29"/>
      <c r="G125" s="29"/>
      <c r="H125" s="29"/>
      <c r="I125" s="29"/>
      <c r="J125" s="29"/>
      <c r="K125" s="29"/>
      <c r="L125" s="29"/>
      <c r="M125" s="66">
        <v>0</v>
      </c>
      <c r="N125" s="29"/>
      <c r="O125" s="6"/>
    </row>
    <row r="126" spans="1:15" ht="15.75">
      <c r="A126" s="28"/>
      <c r="B126" s="29" t="s">
        <v>89</v>
      </c>
      <c r="C126" s="29"/>
      <c r="D126" s="29"/>
      <c r="E126" s="29"/>
      <c r="F126" s="29"/>
      <c r="G126" s="29"/>
      <c r="H126" s="29"/>
      <c r="I126" s="29"/>
      <c r="J126" s="29"/>
      <c r="K126" s="29"/>
      <c r="L126" s="29"/>
      <c r="M126" s="66">
        <v>0</v>
      </c>
      <c r="N126" s="29"/>
      <c r="O126" s="6"/>
    </row>
    <row r="127" spans="1:15" ht="15.75">
      <c r="A127" s="28"/>
      <c r="B127" s="29" t="s">
        <v>90</v>
      </c>
      <c r="C127" s="29"/>
      <c r="D127" s="29"/>
      <c r="E127" s="29"/>
      <c r="F127" s="29"/>
      <c r="G127" s="29"/>
      <c r="H127" s="29"/>
      <c r="I127" s="29"/>
      <c r="J127" s="29"/>
      <c r="K127" s="29"/>
      <c r="L127" s="29"/>
      <c r="M127" s="66">
        <v>0</v>
      </c>
      <c r="N127" s="29"/>
      <c r="O127" s="6"/>
    </row>
    <row r="128" spans="1:15" ht="15.75">
      <c r="A128" s="28"/>
      <c r="B128" s="29" t="s">
        <v>91</v>
      </c>
      <c r="C128" s="29"/>
      <c r="D128" s="29"/>
      <c r="E128" s="29"/>
      <c r="F128" s="29"/>
      <c r="G128" s="29"/>
      <c r="H128" s="29"/>
      <c r="I128" s="29"/>
      <c r="J128" s="29"/>
      <c r="K128" s="29"/>
      <c r="L128" s="29"/>
      <c r="M128" s="66">
        <v>0</v>
      </c>
      <c r="N128" s="29"/>
      <c r="O128" s="6"/>
    </row>
    <row r="129" spans="1:15" ht="15.75">
      <c r="A129" s="28"/>
      <c r="B129" s="29" t="s">
        <v>66</v>
      </c>
      <c r="C129" s="29"/>
      <c r="D129" s="29"/>
      <c r="E129" s="29"/>
      <c r="F129" s="29"/>
      <c r="G129" s="29"/>
      <c r="H129" s="29"/>
      <c r="I129" s="29"/>
      <c r="J129" s="29"/>
      <c r="K129" s="29"/>
      <c r="L129" s="29"/>
      <c r="M129" s="66">
        <v>0</v>
      </c>
      <c r="N129" s="29"/>
      <c r="O129" s="6"/>
    </row>
    <row r="130" spans="1:15" ht="15.75">
      <c r="A130" s="28"/>
      <c r="B130" s="29" t="s">
        <v>67</v>
      </c>
      <c r="C130" s="29"/>
      <c r="D130" s="29"/>
      <c r="E130" s="29"/>
      <c r="F130" s="29"/>
      <c r="G130" s="29"/>
      <c r="H130" s="29"/>
      <c r="I130" s="29"/>
      <c r="J130" s="29"/>
      <c r="K130" s="29"/>
      <c r="L130" s="29"/>
      <c r="M130" s="66">
        <v>0</v>
      </c>
      <c r="N130" s="29"/>
      <c r="O130" s="6"/>
    </row>
    <row r="131" spans="1:15" ht="15.75">
      <c r="A131" s="28"/>
      <c r="B131" s="29" t="s">
        <v>92</v>
      </c>
      <c r="C131" s="29"/>
      <c r="D131" s="29"/>
      <c r="E131" s="29"/>
      <c r="F131" s="29"/>
      <c r="G131" s="29"/>
      <c r="H131" s="29"/>
      <c r="I131" s="29"/>
      <c r="J131" s="29"/>
      <c r="K131" s="29"/>
      <c r="L131" s="29"/>
      <c r="M131" s="66">
        <f>M123+M126</f>
        <v>5852</v>
      </c>
      <c r="N131" s="29"/>
      <c r="O131" s="6"/>
    </row>
    <row r="132" spans="1:15" ht="15.75">
      <c r="A132" s="28"/>
      <c r="B132" s="29"/>
      <c r="C132" s="29"/>
      <c r="D132" s="29"/>
      <c r="E132" s="29"/>
      <c r="F132" s="29"/>
      <c r="G132" s="29"/>
      <c r="H132" s="29"/>
      <c r="I132" s="29"/>
      <c r="J132" s="29"/>
      <c r="K132" s="29"/>
      <c r="L132" s="29"/>
      <c r="M132" s="82"/>
      <c r="N132" s="29"/>
      <c r="O132" s="6"/>
    </row>
    <row r="133" spans="1:15" ht="15.75">
      <c r="A133" s="7"/>
      <c r="B133" s="158" t="s">
        <v>50</v>
      </c>
      <c r="C133" s="9"/>
      <c r="D133" s="9"/>
      <c r="E133" s="9"/>
      <c r="F133" s="9"/>
      <c r="G133" s="9"/>
      <c r="H133" s="9"/>
      <c r="I133" s="9"/>
      <c r="J133" s="9"/>
      <c r="K133" s="9"/>
      <c r="L133" s="9"/>
      <c r="M133" s="64"/>
      <c r="N133" s="9"/>
      <c r="O133" s="6"/>
    </row>
    <row r="134" spans="1:15" ht="15.75">
      <c r="A134" s="28"/>
      <c r="B134" s="29" t="s">
        <v>93</v>
      </c>
      <c r="C134" s="83"/>
      <c r="D134" s="83"/>
      <c r="E134" s="29"/>
      <c r="F134" s="29"/>
      <c r="G134" s="29"/>
      <c r="H134" s="29"/>
      <c r="I134" s="29"/>
      <c r="J134" s="29"/>
      <c r="K134" s="29"/>
      <c r="L134" s="29"/>
      <c r="M134" s="66">
        <v>2926</v>
      </c>
      <c r="N134" s="29"/>
      <c r="O134" s="6"/>
    </row>
    <row r="135" spans="1:15" ht="15.75">
      <c r="A135" s="28"/>
      <c r="B135" s="29" t="s">
        <v>94</v>
      </c>
      <c r="C135" s="29"/>
      <c r="D135" s="29"/>
      <c r="E135" s="29"/>
      <c r="F135" s="29"/>
      <c r="G135" s="29"/>
      <c r="H135" s="29"/>
      <c r="I135" s="29"/>
      <c r="J135" s="29"/>
      <c r="K135" s="29"/>
      <c r="L135" s="29"/>
      <c r="M135" s="66">
        <v>2926</v>
      </c>
      <c r="N135" s="29"/>
      <c r="O135" s="6"/>
    </row>
    <row r="136" spans="1:15" ht="15.75">
      <c r="A136" s="28"/>
      <c r="B136" s="29" t="s">
        <v>95</v>
      </c>
      <c r="C136" s="29"/>
      <c r="D136" s="29"/>
      <c r="E136" s="29"/>
      <c r="F136" s="29"/>
      <c r="G136" s="29"/>
      <c r="H136" s="29"/>
      <c r="I136" s="29"/>
      <c r="J136" s="29"/>
      <c r="K136" s="29"/>
      <c r="L136" s="29"/>
      <c r="M136" s="66">
        <f>-M99</f>
        <v>0</v>
      </c>
      <c r="N136" s="29"/>
      <c r="O136" s="6"/>
    </row>
    <row r="137" spans="1:15" ht="15.75">
      <c r="A137" s="28"/>
      <c r="B137" s="29" t="s">
        <v>96</v>
      </c>
      <c r="C137" s="29"/>
      <c r="D137" s="29"/>
      <c r="E137" s="29"/>
      <c r="F137" s="29"/>
      <c r="G137" s="29"/>
      <c r="H137" s="29"/>
      <c r="I137" s="29"/>
      <c r="J137" s="29"/>
      <c r="K137" s="29"/>
      <c r="L137" s="29"/>
      <c r="M137" s="66">
        <f>M134-M135-M136</f>
        <v>0</v>
      </c>
      <c r="N137" s="29"/>
      <c r="O137" s="6"/>
    </row>
    <row r="138" spans="1:15" ht="15.75">
      <c r="A138" s="28"/>
      <c r="B138" s="29"/>
      <c r="C138" s="29"/>
      <c r="D138" s="29"/>
      <c r="E138" s="29"/>
      <c r="F138" s="29"/>
      <c r="G138" s="29"/>
      <c r="H138" s="29"/>
      <c r="I138" s="29"/>
      <c r="J138" s="29"/>
      <c r="K138" s="29"/>
      <c r="L138" s="29"/>
      <c r="M138" s="84"/>
      <c r="N138" s="29"/>
      <c r="O138" s="6"/>
    </row>
    <row r="139" spans="1:15" ht="15.75">
      <c r="A139" s="7"/>
      <c r="B139" s="158" t="s">
        <v>97</v>
      </c>
      <c r="C139" s="15"/>
      <c r="D139" s="15"/>
      <c r="E139" s="9"/>
      <c r="F139" s="9"/>
      <c r="G139" s="17" t="s">
        <v>178</v>
      </c>
      <c r="H139" s="17"/>
      <c r="I139" s="17" t="s">
        <v>181</v>
      </c>
      <c r="J139" s="9"/>
      <c r="K139" s="9"/>
      <c r="L139" s="9"/>
      <c r="M139" s="85"/>
      <c r="N139" s="9"/>
      <c r="O139" s="6"/>
    </row>
    <row r="140" spans="1:15" ht="15.75">
      <c r="A140" s="7"/>
      <c r="B140" s="15"/>
      <c r="C140" s="15"/>
      <c r="D140" s="15"/>
      <c r="E140" s="9"/>
      <c r="F140" s="9"/>
      <c r="G140" s="9"/>
      <c r="H140" s="9"/>
      <c r="I140" s="9"/>
      <c r="J140" s="9"/>
      <c r="K140" s="9"/>
      <c r="L140" s="9"/>
      <c r="M140" s="85"/>
      <c r="N140" s="9"/>
      <c r="O140" s="6"/>
    </row>
    <row r="141" spans="1:15" ht="15.75">
      <c r="A141" s="28"/>
      <c r="B141" s="29" t="s">
        <v>98</v>
      </c>
      <c r="C141" s="29"/>
      <c r="D141" s="29"/>
      <c r="E141" s="29"/>
      <c r="F141" s="29"/>
      <c r="G141" s="29">
        <v>0</v>
      </c>
      <c r="H141" s="29"/>
      <c r="I141" s="29">
        <v>0</v>
      </c>
      <c r="J141" s="29"/>
      <c r="K141" s="29"/>
      <c r="L141" s="29"/>
      <c r="M141" s="66">
        <v>0</v>
      </c>
      <c r="N141" s="29"/>
      <c r="O141" s="6"/>
    </row>
    <row r="142" spans="1:15" ht="15.75">
      <c r="A142" s="28"/>
      <c r="B142" s="29" t="s">
        <v>99</v>
      </c>
      <c r="C142" s="29"/>
      <c r="D142" s="29"/>
      <c r="E142" s="29"/>
      <c r="F142" s="29"/>
      <c r="G142" s="29">
        <v>62</v>
      </c>
      <c r="H142" s="29"/>
      <c r="I142" s="29">
        <v>291</v>
      </c>
      <c r="J142" s="29"/>
      <c r="K142" s="29"/>
      <c r="L142" s="29"/>
      <c r="M142" s="66">
        <f>SUM(G142:I142)</f>
        <v>353</v>
      </c>
      <c r="N142" s="29"/>
      <c r="O142" s="6"/>
    </row>
    <row r="143" spans="1:15" ht="15.75">
      <c r="A143" s="28"/>
      <c r="B143" s="29" t="s">
        <v>100</v>
      </c>
      <c r="C143" s="29"/>
      <c r="D143" s="29"/>
      <c r="E143" s="29"/>
      <c r="F143" s="29"/>
      <c r="G143" s="29"/>
      <c r="H143" s="29"/>
      <c r="I143" s="86"/>
      <c r="J143" s="29"/>
      <c r="K143" s="29"/>
      <c r="L143" s="29"/>
      <c r="M143" s="66">
        <f>M98</f>
        <v>-353</v>
      </c>
      <c r="N143" s="29"/>
      <c r="O143" s="6"/>
    </row>
    <row r="144" spans="1:15" ht="15.75">
      <c r="A144" s="28"/>
      <c r="B144" s="29" t="s">
        <v>101</v>
      </c>
      <c r="C144" s="29"/>
      <c r="D144" s="29"/>
      <c r="E144" s="29"/>
      <c r="F144" s="29"/>
      <c r="G144" s="29"/>
      <c r="H144" s="29"/>
      <c r="I144" s="29"/>
      <c r="J144" s="29"/>
      <c r="K144" s="29"/>
      <c r="L144" s="29"/>
      <c r="M144" s="66">
        <f>M143+M142</f>
        <v>0</v>
      </c>
      <c r="N144" s="29"/>
      <c r="O144" s="6"/>
    </row>
    <row r="145" spans="1:15" ht="15.75">
      <c r="A145" s="28"/>
      <c r="B145" s="29"/>
      <c r="C145" s="29"/>
      <c r="D145" s="29"/>
      <c r="E145" s="29"/>
      <c r="F145" s="29"/>
      <c r="G145" s="29"/>
      <c r="H145" s="29"/>
      <c r="I145" s="29"/>
      <c r="J145" s="29"/>
      <c r="K145" s="29"/>
      <c r="L145" s="29"/>
      <c r="M145" s="82"/>
      <c r="N145" s="29"/>
      <c r="O145" s="6"/>
    </row>
    <row r="146" spans="1:15" ht="15.75">
      <c r="A146" s="7"/>
      <c r="B146" s="9"/>
      <c r="C146" s="9"/>
      <c r="D146" s="9"/>
      <c r="E146" s="9"/>
      <c r="F146" s="9"/>
      <c r="G146" s="9"/>
      <c r="H146" s="9"/>
      <c r="I146" s="9"/>
      <c r="J146" s="9"/>
      <c r="K146" s="9"/>
      <c r="L146" s="9"/>
      <c r="M146" s="64"/>
      <c r="N146" s="9"/>
      <c r="O146" s="6"/>
    </row>
    <row r="147" spans="1:15" ht="15.75">
      <c r="A147" s="7"/>
      <c r="B147" s="158" t="s">
        <v>102</v>
      </c>
      <c r="C147" s="15"/>
      <c r="D147" s="15"/>
      <c r="E147" s="9"/>
      <c r="F147" s="9"/>
      <c r="G147" s="9"/>
      <c r="H147" s="9"/>
      <c r="I147" s="9"/>
      <c r="J147" s="9"/>
      <c r="K147" s="9"/>
      <c r="L147" s="9"/>
      <c r="M147" s="64"/>
      <c r="N147" s="9"/>
      <c r="O147" s="6"/>
    </row>
    <row r="148" spans="1:15" ht="15.75">
      <c r="A148" s="28"/>
      <c r="B148" s="29" t="s">
        <v>103</v>
      </c>
      <c r="C148" s="87"/>
      <c r="D148" s="87"/>
      <c r="E148" s="29"/>
      <c r="F148" s="29"/>
      <c r="G148" s="29"/>
      <c r="H148" s="29"/>
      <c r="I148" s="29"/>
      <c r="J148" s="29"/>
      <c r="K148" s="29"/>
      <c r="L148" s="29"/>
      <c r="M148" s="66">
        <f>M68+M61</f>
        <v>171964</v>
      </c>
      <c r="N148" s="29"/>
      <c r="O148" s="6"/>
    </row>
    <row r="149" spans="1:15" ht="15.75">
      <c r="A149" s="28"/>
      <c r="B149" s="29" t="s">
        <v>104</v>
      </c>
      <c r="C149" s="87"/>
      <c r="D149" s="87"/>
      <c r="E149" s="29"/>
      <c r="F149" s="29"/>
      <c r="G149" s="29"/>
      <c r="H149" s="29"/>
      <c r="I149" s="29"/>
      <c r="J149" s="29"/>
      <c r="K149" s="29"/>
      <c r="L149" s="29"/>
      <c r="M149" s="66">
        <f>M72</f>
        <v>21841</v>
      </c>
      <c r="N149" s="29"/>
      <c r="O149" s="6"/>
    </row>
    <row r="150" spans="1:15" ht="15.75">
      <c r="A150" s="28"/>
      <c r="B150" s="29" t="s">
        <v>50</v>
      </c>
      <c r="C150" s="87"/>
      <c r="D150" s="87"/>
      <c r="E150" s="29"/>
      <c r="F150" s="29"/>
      <c r="G150" s="29"/>
      <c r="H150" s="29"/>
      <c r="I150" s="29"/>
      <c r="J150" s="29"/>
      <c r="K150" s="29"/>
      <c r="L150" s="29"/>
      <c r="M150" s="66">
        <f>M71</f>
        <v>2926</v>
      </c>
      <c r="N150" s="29"/>
      <c r="O150" s="6"/>
    </row>
    <row r="151" spans="1:15" ht="15.75">
      <c r="A151" s="28"/>
      <c r="B151" s="29" t="s">
        <v>105</v>
      </c>
      <c r="C151" s="87"/>
      <c r="D151" s="87"/>
      <c r="E151" s="29"/>
      <c r="F151" s="29"/>
      <c r="G151" s="29"/>
      <c r="H151" s="29"/>
      <c r="I151" s="29"/>
      <c r="J151" s="29"/>
      <c r="K151" s="29"/>
      <c r="L151" s="29"/>
      <c r="M151" s="66">
        <f>M74</f>
        <v>-95</v>
      </c>
      <c r="N151" s="29"/>
      <c r="O151" s="6"/>
    </row>
    <row r="152" spans="1:15" ht="15.75">
      <c r="A152" s="28"/>
      <c r="B152" s="29" t="s">
        <v>106</v>
      </c>
      <c r="C152" s="87"/>
      <c r="D152" s="87"/>
      <c r="E152" s="29"/>
      <c r="F152" s="29"/>
      <c r="G152" s="29"/>
      <c r="H152" s="29"/>
      <c r="I152" s="29"/>
      <c r="J152" s="29"/>
      <c r="K152" s="29"/>
      <c r="L152" s="29"/>
      <c r="M152" s="66">
        <f>M73</f>
        <v>1288</v>
      </c>
      <c r="N152" s="29"/>
      <c r="O152" s="6"/>
    </row>
    <row r="153" spans="1:15" ht="15.75">
      <c r="A153" s="28"/>
      <c r="B153" s="29" t="s">
        <v>107</v>
      </c>
      <c r="C153" s="87"/>
      <c r="D153" s="87"/>
      <c r="E153" s="29"/>
      <c r="F153" s="29"/>
      <c r="G153" s="29"/>
      <c r="H153" s="29"/>
      <c r="I153" s="29"/>
      <c r="J153" s="29"/>
      <c r="K153" s="29"/>
      <c r="L153" s="29"/>
      <c r="M153" s="66">
        <f>SUM(M148:M152)</f>
        <v>197924</v>
      </c>
      <c r="N153" s="29"/>
      <c r="O153" s="6"/>
    </row>
    <row r="154" spans="1:15" ht="15.75">
      <c r="A154" s="28"/>
      <c r="B154" s="29" t="s">
        <v>108</v>
      </c>
      <c r="C154" s="87"/>
      <c r="D154" s="87"/>
      <c r="E154" s="29"/>
      <c r="F154" s="29"/>
      <c r="G154" s="29"/>
      <c r="H154" s="29"/>
      <c r="I154" s="29"/>
      <c r="J154" s="29"/>
      <c r="K154" s="29"/>
      <c r="L154" s="29"/>
      <c r="M154" s="66">
        <f>M30</f>
        <v>194998</v>
      </c>
      <c r="N154" s="29"/>
      <c r="O154" s="6"/>
    </row>
    <row r="155" spans="1:15" ht="15.75">
      <c r="A155" s="28"/>
      <c r="B155" s="29"/>
      <c r="C155" s="29"/>
      <c r="D155" s="29"/>
      <c r="E155" s="29"/>
      <c r="F155" s="29"/>
      <c r="G155" s="29"/>
      <c r="H155" s="29"/>
      <c r="I155" s="29"/>
      <c r="J155" s="29"/>
      <c r="K155" s="29"/>
      <c r="L155" s="29"/>
      <c r="M155" s="82"/>
      <c r="N155" s="29"/>
      <c r="O155" s="6"/>
    </row>
    <row r="156" spans="1:15" ht="15.75">
      <c r="A156" s="7"/>
      <c r="B156" s="9"/>
      <c r="C156" s="9"/>
      <c r="D156" s="9"/>
      <c r="E156" s="9"/>
      <c r="F156" s="9"/>
      <c r="G156" s="9"/>
      <c r="H156" s="9"/>
      <c r="I156" s="25"/>
      <c r="J156" s="9"/>
      <c r="K156" s="25"/>
      <c r="L156" s="9"/>
      <c r="M156" s="64"/>
      <c r="N156" s="9"/>
      <c r="O156" s="6"/>
    </row>
    <row r="157" spans="1:15" ht="15.75">
      <c r="A157" s="7"/>
      <c r="B157" s="158" t="s">
        <v>109</v>
      </c>
      <c r="C157" s="144"/>
      <c r="D157" s="144"/>
      <c r="E157" s="144"/>
      <c r="F157" s="144"/>
      <c r="G157" s="144"/>
      <c r="H157" s="144"/>
      <c r="I157" s="159" t="s">
        <v>205</v>
      </c>
      <c r="J157" s="159"/>
      <c r="K157" s="159" t="s">
        <v>210</v>
      </c>
      <c r="L157" s="144"/>
      <c r="M157" s="160" t="s">
        <v>192</v>
      </c>
      <c r="N157" s="9"/>
      <c r="O157" s="6"/>
    </row>
    <row r="158" spans="1:15" ht="15.75">
      <c r="A158" s="28"/>
      <c r="B158" s="29" t="s">
        <v>110</v>
      </c>
      <c r="C158" s="29"/>
      <c r="D158" s="29"/>
      <c r="E158" s="29"/>
      <c r="F158" s="29"/>
      <c r="G158" s="29"/>
      <c r="H158" s="29"/>
      <c r="I158" s="66"/>
      <c r="J158" s="29"/>
      <c r="K158" s="53"/>
      <c r="L158" s="29"/>
      <c r="M158" s="66"/>
      <c r="N158" s="29"/>
      <c r="O158" s="6"/>
    </row>
    <row r="159" spans="1:15" ht="15.75">
      <c r="A159" s="28"/>
      <c r="B159" s="29" t="s">
        <v>111</v>
      </c>
      <c r="C159" s="29"/>
      <c r="D159" s="29"/>
      <c r="E159" s="29"/>
      <c r="F159" s="29"/>
      <c r="G159" s="29"/>
      <c r="H159" s="29"/>
      <c r="I159" s="66"/>
      <c r="J159" s="29"/>
      <c r="K159" s="29"/>
      <c r="L159" s="29"/>
      <c r="M159" s="66" t="s">
        <v>224</v>
      </c>
      <c r="N159" s="29"/>
      <c r="O159" s="6"/>
    </row>
    <row r="160" spans="1:15" ht="15.75">
      <c r="A160" s="28"/>
      <c r="B160" s="29" t="s">
        <v>112</v>
      </c>
      <c r="C160" s="29"/>
      <c r="D160" s="29"/>
      <c r="E160" s="29"/>
      <c r="F160" s="29"/>
      <c r="G160" s="29"/>
      <c r="H160" s="29"/>
      <c r="I160" s="66"/>
      <c r="J160" s="29"/>
      <c r="K160" s="29"/>
      <c r="L160" s="29"/>
      <c r="M160" s="66" t="s">
        <v>224</v>
      </c>
      <c r="N160" s="29"/>
      <c r="O160" s="6"/>
    </row>
    <row r="161" spans="1:15" ht="15.75">
      <c r="A161" s="28"/>
      <c r="B161" s="29" t="s">
        <v>113</v>
      </c>
      <c r="C161" s="29"/>
      <c r="D161" s="29"/>
      <c r="E161" s="29"/>
      <c r="F161" s="29"/>
      <c r="G161" s="29"/>
      <c r="H161" s="29"/>
      <c r="I161" s="66"/>
      <c r="J161" s="29"/>
      <c r="K161" s="66"/>
      <c r="L161" s="29"/>
      <c r="M161" s="66" t="s">
        <v>224</v>
      </c>
      <c r="N161" s="29"/>
      <c r="O161" s="6"/>
    </row>
    <row r="162" spans="1:15" ht="15.75">
      <c r="A162" s="28"/>
      <c r="B162" s="29" t="s">
        <v>114</v>
      </c>
      <c r="C162" s="29"/>
      <c r="D162" s="29"/>
      <c r="E162" s="29"/>
      <c r="F162" s="29"/>
      <c r="G162" s="29"/>
      <c r="H162" s="29"/>
      <c r="I162" s="66"/>
      <c r="J162" s="29"/>
      <c r="K162" s="53"/>
      <c r="L162" s="29"/>
      <c r="M162" s="66"/>
      <c r="N162" s="29"/>
      <c r="O162" s="6"/>
    </row>
    <row r="163" spans="1:15" ht="15.75">
      <c r="A163" s="28"/>
      <c r="B163" s="29"/>
      <c r="C163" s="29"/>
      <c r="D163" s="29"/>
      <c r="E163" s="29"/>
      <c r="F163" s="29"/>
      <c r="G163" s="29"/>
      <c r="H163" s="29"/>
      <c r="I163" s="29"/>
      <c r="J163" s="29"/>
      <c r="K163" s="29"/>
      <c r="L163" s="29"/>
      <c r="M163" s="82"/>
      <c r="N163" s="29"/>
      <c r="O163" s="6"/>
    </row>
    <row r="164" spans="1:15" ht="15.75">
      <c r="A164" s="7"/>
      <c r="B164" s="9"/>
      <c r="C164" s="9"/>
      <c r="D164" s="9"/>
      <c r="E164" s="9"/>
      <c r="F164" s="9"/>
      <c r="G164" s="9"/>
      <c r="H164" s="9"/>
      <c r="I164" s="9"/>
      <c r="J164" s="9"/>
      <c r="K164" s="9"/>
      <c r="L164" s="9"/>
      <c r="M164" s="64"/>
      <c r="N164" s="9"/>
      <c r="O164" s="6"/>
    </row>
    <row r="165" spans="1:15" ht="15.75">
      <c r="A165" s="7"/>
      <c r="B165" s="158" t="s">
        <v>115</v>
      </c>
      <c r="C165" s="15"/>
      <c r="D165" s="15"/>
      <c r="E165" s="9"/>
      <c r="F165" s="9"/>
      <c r="G165" s="9"/>
      <c r="H165" s="9"/>
      <c r="I165" s="9"/>
      <c r="J165" s="9"/>
      <c r="K165" s="9"/>
      <c r="L165" s="9"/>
      <c r="M165" s="88"/>
      <c r="N165" s="9"/>
      <c r="O165" s="6"/>
    </row>
    <row r="166" spans="1:15" ht="15.75">
      <c r="A166" s="28"/>
      <c r="B166" s="29" t="s">
        <v>116</v>
      </c>
      <c r="C166" s="29"/>
      <c r="D166" s="29"/>
      <c r="E166" s="29"/>
      <c r="F166" s="29"/>
      <c r="G166" s="29"/>
      <c r="H166" s="29"/>
      <c r="I166" s="29"/>
      <c r="J166" s="29"/>
      <c r="K166" s="29"/>
      <c r="L166" s="29"/>
      <c r="M166" s="73">
        <f>(M88+M90+M91+M93)/-M92</f>
        <v>3.3754080522306857</v>
      </c>
      <c r="N166" s="29" t="s">
        <v>225</v>
      </c>
      <c r="O166" s="6"/>
    </row>
    <row r="167" spans="1:15" ht="15.75">
      <c r="A167" s="28"/>
      <c r="B167" s="29" t="s">
        <v>117</v>
      </c>
      <c r="C167" s="29"/>
      <c r="D167" s="29"/>
      <c r="E167" s="29"/>
      <c r="F167" s="29"/>
      <c r="G167" s="29"/>
      <c r="H167" s="29"/>
      <c r="I167" s="29"/>
      <c r="J167" s="29"/>
      <c r="K167" s="29"/>
      <c r="L167" s="29"/>
      <c r="M167" s="89">
        <v>2.51</v>
      </c>
      <c r="N167" s="29" t="s">
        <v>225</v>
      </c>
      <c r="O167" s="6"/>
    </row>
    <row r="168" spans="1:15" ht="15.75">
      <c r="A168" s="28"/>
      <c r="B168" s="29" t="s">
        <v>118</v>
      </c>
      <c r="C168" s="29"/>
      <c r="D168" s="29"/>
      <c r="E168" s="29"/>
      <c r="F168" s="29"/>
      <c r="G168" s="29"/>
      <c r="H168" s="29"/>
      <c r="I168" s="29"/>
      <c r="J168" s="29"/>
      <c r="K168" s="29"/>
      <c r="L168" s="29"/>
      <c r="M168" s="73">
        <f>(M88+M90+M91+M92+M93+M94)/-M95</f>
        <v>22.035353535353536</v>
      </c>
      <c r="N168" s="29" t="s">
        <v>225</v>
      </c>
      <c r="O168" s="6"/>
    </row>
    <row r="169" spans="1:15" ht="15.75">
      <c r="A169" s="28"/>
      <c r="B169" s="29" t="s">
        <v>119</v>
      </c>
      <c r="C169" s="29"/>
      <c r="D169" s="29"/>
      <c r="E169" s="29"/>
      <c r="F169" s="29"/>
      <c r="G169" s="29"/>
      <c r="H169" s="29"/>
      <c r="I169" s="29"/>
      <c r="J169" s="29"/>
      <c r="K169" s="29"/>
      <c r="L169" s="29"/>
      <c r="M169" s="90">
        <v>14.28</v>
      </c>
      <c r="N169" s="29" t="s">
        <v>225</v>
      </c>
      <c r="O169" s="6"/>
    </row>
    <row r="170" spans="1:15" ht="15.75">
      <c r="A170" s="28"/>
      <c r="B170" s="29" t="s">
        <v>120</v>
      </c>
      <c r="C170" s="29"/>
      <c r="D170" s="29"/>
      <c r="E170" s="29"/>
      <c r="F170" s="29"/>
      <c r="G170" s="29"/>
      <c r="H170" s="29"/>
      <c r="I170" s="29"/>
      <c r="J170" s="29"/>
      <c r="K170" s="29"/>
      <c r="L170" s="29"/>
      <c r="M170" s="73">
        <f>(M88+M90+M91+M92+M93+M94+M95)/-M96</f>
        <v>29.53900709219858</v>
      </c>
      <c r="N170" s="29" t="s">
        <v>225</v>
      </c>
      <c r="O170" s="6"/>
    </row>
    <row r="171" spans="1:15" ht="15.75">
      <c r="A171" s="28"/>
      <c r="B171" s="29" t="s">
        <v>121</v>
      </c>
      <c r="C171" s="29"/>
      <c r="D171" s="29"/>
      <c r="E171" s="29"/>
      <c r="F171" s="29"/>
      <c r="G171" s="29"/>
      <c r="H171" s="29"/>
      <c r="I171" s="29"/>
      <c r="J171" s="29"/>
      <c r="K171" s="29"/>
      <c r="L171" s="29"/>
      <c r="M171" s="89">
        <v>19.34</v>
      </c>
      <c r="N171" s="29" t="s">
        <v>225</v>
      </c>
      <c r="O171" s="6"/>
    </row>
    <row r="172" spans="1:15" ht="15.75">
      <c r="A172" s="28"/>
      <c r="B172" s="29"/>
      <c r="C172" s="29"/>
      <c r="D172" s="29"/>
      <c r="E172" s="29"/>
      <c r="F172" s="29"/>
      <c r="G172" s="29"/>
      <c r="H172" s="29"/>
      <c r="I172" s="29"/>
      <c r="J172" s="29"/>
      <c r="K172" s="29"/>
      <c r="L172" s="29"/>
      <c r="M172" s="29"/>
      <c r="N172" s="29"/>
      <c r="O172" s="6"/>
    </row>
    <row r="173" spans="1:15" ht="15.75">
      <c r="A173" s="7"/>
      <c r="B173" s="9"/>
      <c r="C173" s="9"/>
      <c r="D173" s="9"/>
      <c r="E173" s="9"/>
      <c r="F173" s="9"/>
      <c r="G173" s="9"/>
      <c r="H173" s="9"/>
      <c r="I173" s="9"/>
      <c r="J173" s="9"/>
      <c r="K173" s="9"/>
      <c r="L173" s="9"/>
      <c r="M173" s="9"/>
      <c r="N173" s="9"/>
      <c r="O173" s="6"/>
    </row>
    <row r="174" spans="1:15" ht="16.5" thickBot="1">
      <c r="A174" s="134"/>
      <c r="B174" s="135" t="s">
        <v>240</v>
      </c>
      <c r="C174" s="136"/>
      <c r="D174" s="136"/>
      <c r="E174" s="136"/>
      <c r="F174" s="136"/>
      <c r="G174" s="136"/>
      <c r="H174" s="136"/>
      <c r="I174" s="136"/>
      <c r="J174" s="136"/>
      <c r="K174" s="136"/>
      <c r="L174" s="136"/>
      <c r="M174" s="136"/>
      <c r="N174" s="138"/>
      <c r="O174" s="6"/>
    </row>
    <row r="175" spans="1:15" ht="15.75">
      <c r="A175" s="2"/>
      <c r="B175" s="91"/>
      <c r="C175" s="91"/>
      <c r="D175" s="91"/>
      <c r="E175" s="91"/>
      <c r="F175" s="91"/>
      <c r="G175" s="91"/>
      <c r="H175" s="91"/>
      <c r="I175" s="91"/>
      <c r="J175" s="91"/>
      <c r="K175" s="91"/>
      <c r="L175" s="91"/>
      <c r="M175" s="91"/>
      <c r="N175" s="91"/>
      <c r="O175" s="6"/>
    </row>
    <row r="176" spans="1:15" ht="15.75">
      <c r="A176" s="92"/>
      <c r="B176" s="63" t="s">
        <v>122</v>
      </c>
      <c r="C176" s="93"/>
      <c r="D176" s="93"/>
      <c r="E176" s="93" t="s">
        <v>178</v>
      </c>
      <c r="F176" s="93"/>
      <c r="G176" s="94" t="s">
        <v>181</v>
      </c>
      <c r="H176" s="94"/>
      <c r="I176" s="94"/>
      <c r="J176" s="22"/>
      <c r="K176" s="22">
        <v>37287</v>
      </c>
      <c r="L176" s="18"/>
      <c r="M176" s="18"/>
      <c r="N176" s="9"/>
      <c r="O176" s="6"/>
    </row>
    <row r="177" spans="1:15" ht="15.75">
      <c r="A177" s="95"/>
      <c r="B177" s="74" t="s">
        <v>123</v>
      </c>
      <c r="C177" s="96"/>
      <c r="D177" s="96"/>
      <c r="E177" s="97">
        <v>0.12505</v>
      </c>
      <c r="F177" s="96"/>
      <c r="G177" s="97">
        <v>0.13752</v>
      </c>
      <c r="H177" s="86"/>
      <c r="I177" s="86"/>
      <c r="J177" s="86"/>
      <c r="K177" s="97">
        <v>0.13157</v>
      </c>
      <c r="L177" s="29"/>
      <c r="M177" s="29"/>
      <c r="N177" s="29"/>
      <c r="O177" s="6"/>
    </row>
    <row r="178" spans="1:15" ht="15.75">
      <c r="A178" s="95"/>
      <c r="B178" s="74" t="s">
        <v>124</v>
      </c>
      <c r="C178" s="96"/>
      <c r="D178" s="96"/>
      <c r="E178" s="97"/>
      <c r="F178" s="96"/>
      <c r="G178" s="97"/>
      <c r="H178" s="86"/>
      <c r="I178" s="86"/>
      <c r="J178" s="86"/>
      <c r="K178" s="97">
        <v>0.0654</v>
      </c>
      <c r="L178" s="97"/>
      <c r="M178" s="29"/>
      <c r="N178" s="29"/>
      <c r="O178" s="6"/>
    </row>
    <row r="179" spans="1:15" ht="15.75">
      <c r="A179" s="95"/>
      <c r="B179" s="74" t="s">
        <v>125</v>
      </c>
      <c r="C179" s="96"/>
      <c r="D179" s="96"/>
      <c r="E179" s="96"/>
      <c r="F179" s="96"/>
      <c r="G179" s="96"/>
      <c r="H179" s="86"/>
      <c r="I179" s="86"/>
      <c r="J179" s="86"/>
      <c r="K179" s="97">
        <f>K177-K178</f>
        <v>0.06616999999999999</v>
      </c>
      <c r="L179" s="29"/>
      <c r="M179" s="29"/>
      <c r="N179" s="29"/>
      <c r="O179" s="6"/>
    </row>
    <row r="180" spans="1:15" ht="15.75">
      <c r="A180" s="95"/>
      <c r="B180" s="74" t="s">
        <v>126</v>
      </c>
      <c r="C180" s="96"/>
      <c r="D180" s="96"/>
      <c r="E180" s="98">
        <v>0.1161</v>
      </c>
      <c r="F180" s="98"/>
      <c r="G180" s="98">
        <v>0.1301</v>
      </c>
      <c r="H180" s="86"/>
      <c r="I180" s="86"/>
      <c r="J180" s="86"/>
      <c r="K180" s="97">
        <v>0.12373</v>
      </c>
      <c r="L180" s="29"/>
      <c r="M180" s="29"/>
      <c r="N180" s="29"/>
      <c r="O180" s="6"/>
    </row>
    <row r="181" spans="1:15" ht="15.75">
      <c r="A181" s="95"/>
      <c r="B181" s="74" t="s">
        <v>127</v>
      </c>
      <c r="C181" s="96"/>
      <c r="D181" s="96"/>
      <c r="E181" s="96"/>
      <c r="F181" s="96"/>
      <c r="G181" s="96"/>
      <c r="H181" s="86"/>
      <c r="I181" s="86"/>
      <c r="J181" s="86"/>
      <c r="K181" s="97">
        <f>M32</f>
        <v>0.04430516998841013</v>
      </c>
      <c r="L181" s="29"/>
      <c r="M181" s="29"/>
      <c r="N181" s="29"/>
      <c r="O181" s="6"/>
    </row>
    <row r="182" spans="1:15" ht="15.75">
      <c r="A182" s="95"/>
      <c r="B182" s="74" t="s">
        <v>128</v>
      </c>
      <c r="C182" s="96"/>
      <c r="D182" s="96"/>
      <c r="E182" s="96"/>
      <c r="F182" s="96"/>
      <c r="G182" s="96"/>
      <c r="H182" s="86"/>
      <c r="I182" s="86"/>
      <c r="J182" s="86"/>
      <c r="K182" s="97">
        <f>K180-K181</f>
        <v>0.07942483001158987</v>
      </c>
      <c r="L182" s="29"/>
      <c r="M182" s="29"/>
      <c r="N182" s="29"/>
      <c r="O182" s="6"/>
    </row>
    <row r="183" spans="1:15" ht="15.75">
      <c r="A183" s="95"/>
      <c r="B183" s="74" t="s">
        <v>129</v>
      </c>
      <c r="C183" s="96"/>
      <c r="D183" s="96"/>
      <c r="E183" s="96"/>
      <c r="F183" s="96"/>
      <c r="G183" s="96"/>
      <c r="H183" s="86"/>
      <c r="I183" s="86"/>
      <c r="J183" s="86"/>
      <c r="K183" s="97" t="s">
        <v>211</v>
      </c>
      <c r="L183" s="29"/>
      <c r="M183" s="29"/>
      <c r="N183" s="29"/>
      <c r="O183" s="6"/>
    </row>
    <row r="184" spans="1:15" ht="15.75">
      <c r="A184" s="95"/>
      <c r="B184" s="74" t="s">
        <v>130</v>
      </c>
      <c r="C184" s="96"/>
      <c r="D184" s="96"/>
      <c r="E184" s="96"/>
      <c r="F184" s="96"/>
      <c r="G184" s="96"/>
      <c r="H184" s="86"/>
      <c r="I184" s="86"/>
      <c r="J184" s="86"/>
      <c r="K184" s="97" t="s">
        <v>212</v>
      </c>
      <c r="L184" s="29"/>
      <c r="M184" s="29"/>
      <c r="N184" s="29"/>
      <c r="O184" s="6"/>
    </row>
    <row r="185" spans="1:15" ht="15.75">
      <c r="A185" s="95"/>
      <c r="B185" s="74" t="s">
        <v>131</v>
      </c>
      <c r="C185" s="96"/>
      <c r="D185" s="96"/>
      <c r="E185" s="99">
        <v>9.94</v>
      </c>
      <c r="F185" s="96"/>
      <c r="G185" s="99">
        <v>3.91</v>
      </c>
      <c r="H185" s="86"/>
      <c r="I185" s="86"/>
      <c r="J185" s="86"/>
      <c r="K185" s="100">
        <v>6.791</v>
      </c>
      <c r="L185" s="29"/>
      <c r="M185" s="29"/>
      <c r="N185" s="29"/>
      <c r="O185" s="6"/>
    </row>
    <row r="186" spans="1:15" ht="15.75">
      <c r="A186" s="95"/>
      <c r="B186" s="74" t="s">
        <v>132</v>
      </c>
      <c r="C186" s="96"/>
      <c r="D186" s="96"/>
      <c r="E186" s="101">
        <v>9.92</v>
      </c>
      <c r="F186" s="99"/>
      <c r="G186" s="99">
        <v>3.25</v>
      </c>
      <c r="H186" s="86"/>
      <c r="I186" s="86"/>
      <c r="J186" s="86"/>
      <c r="K186" s="100">
        <v>6.3</v>
      </c>
      <c r="L186" s="29"/>
      <c r="M186" s="29"/>
      <c r="N186" s="29"/>
      <c r="O186" s="6"/>
    </row>
    <row r="187" spans="1:15" ht="15.75">
      <c r="A187" s="95"/>
      <c r="B187" s="74" t="s">
        <v>231</v>
      </c>
      <c r="C187" s="96"/>
      <c r="D187" s="96"/>
      <c r="E187" s="101"/>
      <c r="F187" s="99"/>
      <c r="G187" s="99"/>
      <c r="H187" s="86"/>
      <c r="I187" s="86"/>
      <c r="J187" s="86"/>
      <c r="K187" s="97">
        <v>0.0457</v>
      </c>
      <c r="L187" s="29"/>
      <c r="M187" s="29"/>
      <c r="N187" s="29"/>
      <c r="O187" s="6"/>
    </row>
    <row r="188" spans="1:15" ht="15.75">
      <c r="A188" s="95"/>
      <c r="B188" s="74" t="s">
        <v>232</v>
      </c>
      <c r="C188" s="96"/>
      <c r="D188" s="96"/>
      <c r="E188" s="101"/>
      <c r="F188" s="99"/>
      <c r="G188" s="99"/>
      <c r="H188" s="86"/>
      <c r="I188" s="86"/>
      <c r="J188" s="86"/>
      <c r="K188" s="97">
        <v>0.179</v>
      </c>
      <c r="L188" s="29"/>
      <c r="M188" s="29"/>
      <c r="N188" s="29"/>
      <c r="O188" s="6"/>
    </row>
    <row r="189" spans="1:15" ht="15.75">
      <c r="A189" s="95"/>
      <c r="B189" s="74" t="s">
        <v>233</v>
      </c>
      <c r="C189" s="96"/>
      <c r="D189" s="96"/>
      <c r="E189" s="101"/>
      <c r="F189" s="99"/>
      <c r="G189" s="99"/>
      <c r="H189" s="86"/>
      <c r="I189" s="86"/>
      <c r="J189" s="86"/>
      <c r="K189" s="97">
        <v>0.0947</v>
      </c>
      <c r="L189" s="29"/>
      <c r="M189" s="29"/>
      <c r="N189" s="29"/>
      <c r="O189" s="6"/>
    </row>
    <row r="190" spans="1:15" ht="15.75">
      <c r="A190" s="95"/>
      <c r="B190" s="74" t="s">
        <v>234</v>
      </c>
      <c r="C190" s="96"/>
      <c r="D190" s="96"/>
      <c r="E190" s="101"/>
      <c r="F190" s="99"/>
      <c r="G190" s="99"/>
      <c r="H190" s="86"/>
      <c r="I190" s="86"/>
      <c r="J190" s="86"/>
      <c r="K190" s="97">
        <v>0.2798</v>
      </c>
      <c r="L190" s="29"/>
      <c r="M190" s="29"/>
      <c r="N190" s="29"/>
      <c r="O190" s="6"/>
    </row>
    <row r="191" spans="1:15" ht="15.75">
      <c r="A191" s="95"/>
      <c r="B191" s="74"/>
      <c r="C191" s="74"/>
      <c r="D191" s="74"/>
      <c r="E191" s="74"/>
      <c r="F191" s="74"/>
      <c r="G191" s="74"/>
      <c r="H191" s="29"/>
      <c r="I191" s="29"/>
      <c r="J191" s="37"/>
      <c r="K191" s="102"/>
      <c r="L191" s="29"/>
      <c r="M191" s="103"/>
      <c r="N191" s="29"/>
      <c r="O191" s="6"/>
    </row>
    <row r="192" spans="1:15" ht="15.75">
      <c r="A192" s="104"/>
      <c r="B192" s="17" t="s">
        <v>134</v>
      </c>
      <c r="C192" s="20"/>
      <c r="D192" s="20"/>
      <c r="E192" s="105"/>
      <c r="F192" s="20"/>
      <c r="G192" s="105"/>
      <c r="H192" s="20"/>
      <c r="I192" s="105"/>
      <c r="J192" s="20" t="s">
        <v>206</v>
      </c>
      <c r="K192" s="105" t="s">
        <v>213</v>
      </c>
      <c r="L192" s="18"/>
      <c r="M192" s="18"/>
      <c r="N192" s="9"/>
      <c r="O192" s="6"/>
    </row>
    <row r="193" spans="1:15" ht="15.75">
      <c r="A193" s="106"/>
      <c r="B193" s="74" t="s">
        <v>135</v>
      </c>
      <c r="C193" s="67"/>
      <c r="D193" s="67"/>
      <c r="E193" s="67"/>
      <c r="F193" s="67"/>
      <c r="G193" s="29"/>
      <c r="H193" s="29"/>
      <c r="I193" s="29"/>
      <c r="J193" s="29">
        <v>84</v>
      </c>
      <c r="K193" s="66">
        <v>495</v>
      </c>
      <c r="L193" s="66"/>
      <c r="M193" s="103"/>
      <c r="N193" s="107"/>
      <c r="O193" s="6"/>
    </row>
    <row r="194" spans="1:15" ht="15.75">
      <c r="A194" s="106"/>
      <c r="B194" s="74" t="s">
        <v>136</v>
      </c>
      <c r="C194" s="67"/>
      <c r="D194" s="67"/>
      <c r="E194" s="67"/>
      <c r="F194" s="67"/>
      <c r="G194" s="29"/>
      <c r="H194" s="29"/>
      <c r="I194" s="29"/>
      <c r="J194" s="29">
        <v>30</v>
      </c>
      <c r="K194" s="66">
        <v>205</v>
      </c>
      <c r="L194" s="66"/>
      <c r="M194" s="103"/>
      <c r="N194" s="107"/>
      <c r="O194" s="6"/>
    </row>
    <row r="195" spans="1:15" ht="15.75">
      <c r="A195" s="106"/>
      <c r="B195" s="74"/>
      <c r="C195" s="67"/>
      <c r="D195" s="67"/>
      <c r="E195" s="67"/>
      <c r="F195" s="67"/>
      <c r="G195" s="29"/>
      <c r="H195" s="29"/>
      <c r="I195" s="29"/>
      <c r="J195" s="29"/>
      <c r="K195" s="66"/>
      <c r="L195" s="66"/>
      <c r="M195" s="103"/>
      <c r="N195" s="107"/>
      <c r="O195" s="6"/>
    </row>
    <row r="196" spans="1:15" ht="15.75">
      <c r="A196" s="106"/>
      <c r="B196" s="74" t="s">
        <v>137</v>
      </c>
      <c r="C196" s="67"/>
      <c r="D196" s="67"/>
      <c r="E196" s="67"/>
      <c r="F196" s="67"/>
      <c r="G196" s="29"/>
      <c r="H196" s="29"/>
      <c r="I196" s="29"/>
      <c r="J196" s="29">
        <v>58</v>
      </c>
      <c r="K196" s="66">
        <v>800</v>
      </c>
      <c r="L196" s="66"/>
      <c r="M196" s="103"/>
      <c r="N196" s="107"/>
      <c r="O196" s="6"/>
    </row>
    <row r="197" spans="1:15" ht="15.75">
      <c r="A197" s="106"/>
      <c r="B197" s="74" t="s">
        <v>138</v>
      </c>
      <c r="C197" s="67"/>
      <c r="D197" s="67"/>
      <c r="E197" s="67"/>
      <c r="F197" s="67"/>
      <c r="G197" s="29"/>
      <c r="H197" s="29"/>
      <c r="I197" s="29"/>
      <c r="J197" s="29">
        <v>0</v>
      </c>
      <c r="K197" s="66">
        <v>0</v>
      </c>
      <c r="L197" s="66"/>
      <c r="M197" s="103"/>
      <c r="N197" s="107"/>
      <c r="O197" s="6"/>
    </row>
    <row r="198" spans="1:15" ht="15.75">
      <c r="A198" s="106"/>
      <c r="B198" s="74"/>
      <c r="C198" s="67"/>
      <c r="D198" s="67"/>
      <c r="E198" s="67"/>
      <c r="F198" s="67"/>
      <c r="G198" s="29"/>
      <c r="H198" s="29"/>
      <c r="I198" s="29"/>
      <c r="J198" s="29"/>
      <c r="K198" s="66"/>
      <c r="L198" s="66"/>
      <c r="M198" s="103"/>
      <c r="N198" s="107"/>
      <c r="O198" s="6"/>
    </row>
    <row r="199" spans="1:15" ht="15.75">
      <c r="A199" s="106"/>
      <c r="B199" s="162" t="s">
        <v>139</v>
      </c>
      <c r="C199" s="67"/>
      <c r="D199" s="67"/>
      <c r="E199" s="67"/>
      <c r="F199" s="67"/>
      <c r="G199" s="29"/>
      <c r="H199" s="29"/>
      <c r="I199" s="29"/>
      <c r="J199" s="29"/>
      <c r="K199" s="73" t="s">
        <v>214</v>
      </c>
      <c r="L199" s="29"/>
      <c r="M199" s="103"/>
      <c r="N199" s="107"/>
      <c r="O199" s="6"/>
    </row>
    <row r="200" spans="1:15" ht="15.75">
      <c r="A200" s="106"/>
      <c r="B200" s="162" t="s">
        <v>140</v>
      </c>
      <c r="C200" s="67"/>
      <c r="D200" s="67"/>
      <c r="E200" s="67"/>
      <c r="F200" s="67"/>
      <c r="G200" s="29"/>
      <c r="H200" s="29"/>
      <c r="I200" s="29"/>
      <c r="J200" s="29"/>
      <c r="K200" s="66">
        <f>-I72</f>
        <v>19988</v>
      </c>
      <c r="L200" s="29"/>
      <c r="M200" s="103"/>
      <c r="N200" s="107"/>
      <c r="O200" s="6"/>
    </row>
    <row r="201" spans="1:15" ht="15.75">
      <c r="A201" s="108"/>
      <c r="B201" s="162" t="s">
        <v>141</v>
      </c>
      <c r="C201" s="67"/>
      <c r="D201" s="67"/>
      <c r="E201" s="74"/>
      <c r="F201" s="74"/>
      <c r="G201" s="74"/>
      <c r="H201" s="29"/>
      <c r="I201" s="29"/>
      <c r="J201" s="29"/>
      <c r="K201" s="73"/>
      <c r="L201" s="29"/>
      <c r="M201" s="103"/>
      <c r="N201" s="109"/>
      <c r="O201" s="6"/>
    </row>
    <row r="202" spans="1:15" ht="15.75">
      <c r="A202" s="108"/>
      <c r="B202" s="74" t="s">
        <v>142</v>
      </c>
      <c r="C202" s="67"/>
      <c r="D202" s="67"/>
      <c r="E202" s="74"/>
      <c r="F202" s="74"/>
      <c r="G202" s="74"/>
      <c r="H202" s="29"/>
      <c r="I202" s="29"/>
      <c r="J202" s="29"/>
      <c r="K202" s="89">
        <f>I142</f>
        <v>291</v>
      </c>
      <c r="L202" s="29"/>
      <c r="M202" s="103"/>
      <c r="N202" s="109"/>
      <c r="O202" s="6"/>
    </row>
    <row r="203" spans="1:15" ht="15.75">
      <c r="A203" s="108"/>
      <c r="B203" s="74" t="s">
        <v>143</v>
      </c>
      <c r="C203" s="67"/>
      <c r="D203" s="67"/>
      <c r="E203" s="74"/>
      <c r="F203" s="74"/>
      <c r="G203" s="74"/>
      <c r="H203" s="29"/>
      <c r="I203" s="29"/>
      <c r="J203" s="29"/>
      <c r="K203" s="89">
        <f>'Oct 2001'!K203+I142</f>
        <v>1118</v>
      </c>
      <c r="L203" s="29"/>
      <c r="M203" s="103"/>
      <c r="N203" s="109"/>
      <c r="O203" s="6"/>
    </row>
    <row r="204" spans="1:15" ht="15.75">
      <c r="A204" s="108"/>
      <c r="B204" s="74" t="s">
        <v>144</v>
      </c>
      <c r="C204" s="67"/>
      <c r="D204" s="67"/>
      <c r="E204" s="74"/>
      <c r="F204" s="74"/>
      <c r="G204" s="74"/>
      <c r="H204" s="29"/>
      <c r="I204" s="29"/>
      <c r="J204" s="29"/>
      <c r="K204" s="89">
        <f>39+13+24</f>
        <v>76</v>
      </c>
      <c r="L204" s="29"/>
      <c r="M204" s="103"/>
      <c r="N204" s="109"/>
      <c r="O204" s="6"/>
    </row>
    <row r="205" spans="1:15" ht="15.75">
      <c r="A205" s="108"/>
      <c r="B205" s="74"/>
      <c r="C205" s="67"/>
      <c r="D205" s="67"/>
      <c r="E205" s="74"/>
      <c r="F205" s="74"/>
      <c r="G205" s="74"/>
      <c r="H205" s="29"/>
      <c r="I205" s="29"/>
      <c r="J205" s="29"/>
      <c r="K205" s="89"/>
      <c r="L205" s="29"/>
      <c r="M205" s="103"/>
      <c r="N205" s="109"/>
      <c r="O205" s="6"/>
    </row>
    <row r="206" spans="1:15" ht="15.75">
      <c r="A206" s="106"/>
      <c r="B206" s="74" t="s">
        <v>145</v>
      </c>
      <c r="C206" s="67"/>
      <c r="D206" s="67"/>
      <c r="E206" s="67"/>
      <c r="F206" s="67"/>
      <c r="G206" s="67"/>
      <c r="H206" s="29"/>
      <c r="I206" s="29"/>
      <c r="J206" s="29"/>
      <c r="K206" s="66">
        <f>G142</f>
        <v>62</v>
      </c>
      <c r="L206" s="29"/>
      <c r="M206" s="103"/>
      <c r="N206" s="109"/>
      <c r="O206" s="6"/>
    </row>
    <row r="207" spans="1:15" ht="15.75">
      <c r="A207" s="106"/>
      <c r="B207" s="74" t="s">
        <v>146</v>
      </c>
      <c r="C207" s="67"/>
      <c r="D207" s="67"/>
      <c r="E207" s="67"/>
      <c r="F207" s="67"/>
      <c r="G207" s="67"/>
      <c r="H207" s="29"/>
      <c r="I207" s="29"/>
      <c r="J207" s="29"/>
      <c r="K207" s="66">
        <f>'Oct 2001'!K207+G142</f>
        <v>170</v>
      </c>
      <c r="L207" s="29"/>
      <c r="M207" s="103"/>
      <c r="N207" s="109"/>
      <c r="O207" s="6"/>
    </row>
    <row r="208" spans="1:15" ht="15.75">
      <c r="A208" s="106"/>
      <c r="B208" s="74" t="s">
        <v>144</v>
      </c>
      <c r="C208" s="67"/>
      <c r="D208" s="67"/>
      <c r="E208" s="67"/>
      <c r="F208" s="67"/>
      <c r="G208" s="67"/>
      <c r="H208" s="29"/>
      <c r="I208" s="29"/>
      <c r="J208" s="29"/>
      <c r="K208" s="66"/>
      <c r="L208" s="29"/>
      <c r="M208" s="103"/>
      <c r="N208" s="109"/>
      <c r="O208" s="6"/>
    </row>
    <row r="209" spans="1:15" ht="15.75">
      <c r="A209" s="106"/>
      <c r="B209" s="74"/>
      <c r="C209" s="67"/>
      <c r="D209" s="67"/>
      <c r="E209" s="67"/>
      <c r="F209" s="67"/>
      <c r="G209" s="67"/>
      <c r="H209" s="29"/>
      <c r="I209" s="29"/>
      <c r="J209" s="29"/>
      <c r="K209" s="66"/>
      <c r="L209" s="29"/>
      <c r="M209" s="103"/>
      <c r="N209" s="109"/>
      <c r="O209" s="6"/>
    </row>
    <row r="210" spans="1:15" ht="15.75">
      <c r="A210" s="108"/>
      <c r="B210" s="162" t="s">
        <v>147</v>
      </c>
      <c r="C210" s="67"/>
      <c r="D210" s="67"/>
      <c r="E210" s="74"/>
      <c r="F210" s="74"/>
      <c r="G210" s="74"/>
      <c r="H210" s="29"/>
      <c r="I210" s="29"/>
      <c r="J210" s="29"/>
      <c r="K210" s="110"/>
      <c r="L210" s="29"/>
      <c r="M210" s="103"/>
      <c r="N210" s="109"/>
      <c r="O210" s="6"/>
    </row>
    <row r="211" spans="1:15" ht="15.75">
      <c r="A211" s="108"/>
      <c r="B211" s="74" t="s">
        <v>148</v>
      </c>
      <c r="C211" s="67"/>
      <c r="D211" s="67"/>
      <c r="E211" s="74"/>
      <c r="F211" s="74"/>
      <c r="G211" s="74"/>
      <c r="H211" s="29"/>
      <c r="I211" s="29"/>
      <c r="J211" s="29"/>
      <c r="K211" s="110">
        <v>0</v>
      </c>
      <c r="L211" s="29"/>
      <c r="M211" s="103"/>
      <c r="N211" s="109"/>
      <c r="O211" s="6"/>
    </row>
    <row r="212" spans="1:15" ht="15.75">
      <c r="A212" s="106"/>
      <c r="B212" s="74" t="s">
        <v>149</v>
      </c>
      <c r="C212" s="67"/>
      <c r="D212" s="67"/>
      <c r="E212" s="111"/>
      <c r="F212" s="111"/>
      <c r="G212" s="112"/>
      <c r="H212" s="29"/>
      <c r="I212" s="29"/>
      <c r="J212" s="29"/>
      <c r="K212" s="110">
        <v>0</v>
      </c>
      <c r="L212" s="29"/>
      <c r="M212" s="103"/>
      <c r="N212" s="109"/>
      <c r="O212" s="6"/>
    </row>
    <row r="213" spans="1:15" ht="15.75">
      <c r="A213" s="106"/>
      <c r="B213" s="74" t="s">
        <v>150</v>
      </c>
      <c r="C213" s="67"/>
      <c r="D213" s="67"/>
      <c r="E213" s="111"/>
      <c r="F213" s="111"/>
      <c r="G213" s="112"/>
      <c r="H213" s="29"/>
      <c r="I213" s="29"/>
      <c r="J213" s="29"/>
      <c r="K213" s="110">
        <v>0</v>
      </c>
      <c r="L213" s="29"/>
      <c r="M213" s="103"/>
      <c r="N213" s="109"/>
      <c r="O213" s="6"/>
    </row>
    <row r="214" spans="1:15" ht="15.75">
      <c r="A214" s="106"/>
      <c r="B214" s="74" t="s">
        <v>151</v>
      </c>
      <c r="C214" s="67"/>
      <c r="D214" s="67"/>
      <c r="E214" s="113"/>
      <c r="F214" s="111"/>
      <c r="G214" s="112"/>
      <c r="H214" s="29"/>
      <c r="I214" s="29"/>
      <c r="J214" s="29"/>
      <c r="K214" s="110">
        <v>0</v>
      </c>
      <c r="L214" s="29"/>
      <c r="M214" s="103"/>
      <c r="N214" s="109"/>
      <c r="O214" s="6"/>
    </row>
    <row r="215" spans="1:15" ht="15.75">
      <c r="A215" s="106"/>
      <c r="B215" s="74"/>
      <c r="C215" s="67"/>
      <c r="D215" s="67"/>
      <c r="E215" s="113"/>
      <c r="F215" s="111"/>
      <c r="G215" s="112"/>
      <c r="H215" s="29"/>
      <c r="I215" s="37"/>
      <c r="J215" s="37"/>
      <c r="K215" s="114"/>
      <c r="L215" s="37"/>
      <c r="M215" s="103"/>
      <c r="N215" s="109"/>
      <c r="O215" s="6"/>
    </row>
    <row r="216" spans="1:15" ht="15.75">
      <c r="A216" s="106"/>
      <c r="B216" s="162" t="s">
        <v>152</v>
      </c>
      <c r="C216" s="67"/>
      <c r="D216" s="67"/>
      <c r="E216" s="113"/>
      <c r="F216" s="111"/>
      <c r="G216" s="112"/>
      <c r="H216" s="29"/>
      <c r="I216" s="37"/>
      <c r="J216" s="37"/>
      <c r="K216" s="114"/>
      <c r="L216" s="37"/>
      <c r="M216" s="103"/>
      <c r="N216" s="109"/>
      <c r="O216" s="6"/>
    </row>
    <row r="217" spans="1:15" ht="15.75">
      <c r="A217" s="106"/>
      <c r="B217" s="74" t="s">
        <v>153</v>
      </c>
      <c r="C217" s="67"/>
      <c r="D217" s="67"/>
      <c r="E217" s="113"/>
      <c r="F217" s="111"/>
      <c r="G217" s="112"/>
      <c r="H217" s="29"/>
      <c r="I217" s="37"/>
      <c r="J217" s="37"/>
      <c r="K217" s="115">
        <v>97</v>
      </c>
      <c r="L217" s="37"/>
      <c r="M217" s="103"/>
      <c r="N217" s="109"/>
      <c r="O217" s="6"/>
    </row>
    <row r="218" spans="1:15" ht="15.75">
      <c r="A218" s="106"/>
      <c r="B218" s="74" t="s">
        <v>149</v>
      </c>
      <c r="C218" s="67"/>
      <c r="D218" s="67"/>
      <c r="E218" s="113"/>
      <c r="F218" s="111"/>
      <c r="G218" s="112"/>
      <c r="H218" s="29"/>
      <c r="I218" s="37"/>
      <c r="J218" s="37"/>
      <c r="K218" s="115">
        <v>2.02</v>
      </c>
      <c r="L218" s="37"/>
      <c r="M218" s="103"/>
      <c r="N218" s="109"/>
      <c r="O218" s="6"/>
    </row>
    <row r="219" spans="1:15" ht="15.75">
      <c r="A219" s="106"/>
      <c r="B219" s="74" t="s">
        <v>154</v>
      </c>
      <c r="C219" s="67"/>
      <c r="D219" s="67"/>
      <c r="E219" s="113"/>
      <c r="F219" s="111"/>
      <c r="G219" s="112"/>
      <c r="H219" s="29"/>
      <c r="I219" s="37"/>
      <c r="J219" s="37"/>
      <c r="K219" s="115">
        <v>29</v>
      </c>
      <c r="L219" s="37"/>
      <c r="M219" s="103"/>
      <c r="N219" s="109"/>
      <c r="O219" s="6"/>
    </row>
    <row r="220" spans="1:15" ht="15.75">
      <c r="A220" s="106"/>
      <c r="B220" s="74"/>
      <c r="C220" s="67"/>
      <c r="D220" s="67"/>
      <c r="E220" s="113"/>
      <c r="F220" s="111"/>
      <c r="G220" s="112"/>
      <c r="H220" s="29"/>
      <c r="I220" s="37"/>
      <c r="J220" s="37"/>
      <c r="K220" s="114"/>
      <c r="L220" s="37"/>
      <c r="M220" s="103"/>
      <c r="N220" s="109"/>
      <c r="O220" s="6"/>
    </row>
    <row r="221" spans="1:15" ht="15.75">
      <c r="A221" s="28"/>
      <c r="B221" s="32" t="s">
        <v>155</v>
      </c>
      <c r="C221" s="119"/>
      <c r="D221" s="119"/>
      <c r="E221" s="120"/>
      <c r="F221" s="119"/>
      <c r="G221" s="120"/>
      <c r="H221" s="119"/>
      <c r="I221" s="120" t="s">
        <v>206</v>
      </c>
      <c r="J221" s="119" t="s">
        <v>208</v>
      </c>
      <c r="K221" s="120" t="s">
        <v>215</v>
      </c>
      <c r="L221" s="119" t="s">
        <v>208</v>
      </c>
      <c r="M221" s="121"/>
      <c r="N221" s="109"/>
      <c r="O221" s="6"/>
    </row>
    <row r="222" spans="1:15" ht="15.75">
      <c r="A222" s="28"/>
      <c r="B222" s="67" t="s">
        <v>156</v>
      </c>
      <c r="C222" s="116"/>
      <c r="D222" s="116"/>
      <c r="E222" s="67"/>
      <c r="F222" s="116"/>
      <c r="G222" s="29"/>
      <c r="H222" s="116"/>
      <c r="I222" s="67">
        <v>6719</v>
      </c>
      <c r="J222" s="116">
        <f>I222/I226</f>
        <v>0.9521042936091824</v>
      </c>
      <c r="K222" s="66">
        <v>74393</v>
      </c>
      <c r="L222" s="117">
        <f>K222/K226</f>
        <v>0.9452251473876804</v>
      </c>
      <c r="M222" s="103"/>
      <c r="N222" s="109"/>
      <c r="O222" s="6"/>
    </row>
    <row r="223" spans="1:15" ht="15.75">
      <c r="A223" s="28"/>
      <c r="B223" s="67" t="s">
        <v>157</v>
      </c>
      <c r="C223" s="116"/>
      <c r="D223" s="116"/>
      <c r="E223" s="67"/>
      <c r="F223" s="116"/>
      <c r="G223" s="29"/>
      <c r="H223" s="118"/>
      <c r="I223" s="67">
        <v>129</v>
      </c>
      <c r="J223" s="116">
        <f>I223/I226</f>
        <v>0.018279722261584242</v>
      </c>
      <c r="K223" s="66">
        <v>1684</v>
      </c>
      <c r="L223" s="117">
        <f>K223/K226</f>
        <v>0.021396625330351696</v>
      </c>
      <c r="M223" s="103"/>
      <c r="N223" s="109"/>
      <c r="O223" s="6"/>
    </row>
    <row r="224" spans="1:15" ht="15.75">
      <c r="A224" s="28"/>
      <c r="B224" s="67" t="s">
        <v>158</v>
      </c>
      <c r="C224" s="116"/>
      <c r="D224" s="116"/>
      <c r="E224" s="67"/>
      <c r="F224" s="116"/>
      <c r="G224" s="29"/>
      <c r="H224" s="118"/>
      <c r="I224" s="67">
        <v>96</v>
      </c>
      <c r="J224" s="116">
        <f>I224/I226</f>
        <v>0.013603514241178971</v>
      </c>
      <c r="K224" s="66">
        <v>1218</v>
      </c>
      <c r="L224" s="117">
        <f>K224/K226</f>
        <v>0.015475706444399268</v>
      </c>
      <c r="M224" s="103"/>
      <c r="N224" s="109"/>
      <c r="O224" s="6"/>
    </row>
    <row r="225" spans="1:15" ht="15.75">
      <c r="A225" s="28"/>
      <c r="B225" s="67" t="s">
        <v>159</v>
      </c>
      <c r="C225" s="116"/>
      <c r="D225" s="116"/>
      <c r="E225" s="67"/>
      <c r="F225" s="116"/>
      <c r="G225" s="29"/>
      <c r="H225" s="118"/>
      <c r="I225" s="67">
        <f>41+15+12+31+14</f>
        <v>113</v>
      </c>
      <c r="J225" s="116">
        <f>I225/I226</f>
        <v>0.016012469888054413</v>
      </c>
      <c r="K225" s="66">
        <f>554+197+182+306+170</f>
        <v>1409</v>
      </c>
      <c r="L225" s="117">
        <f>K225/K226</f>
        <v>0.01790252083756861</v>
      </c>
      <c r="M225" s="103"/>
      <c r="N225" s="109"/>
      <c r="O225" s="6"/>
    </row>
    <row r="226" spans="1:15" ht="15.75">
      <c r="A226" s="28"/>
      <c r="B226" s="29"/>
      <c r="C226" s="29"/>
      <c r="D226" s="29"/>
      <c r="E226" s="37"/>
      <c r="F226" s="29"/>
      <c r="G226" s="29"/>
      <c r="H226" s="29"/>
      <c r="I226" s="65">
        <f>SUM(I222:I225)</f>
        <v>7057</v>
      </c>
      <c r="J226" s="117">
        <f>SUM(J222:J225)</f>
        <v>1</v>
      </c>
      <c r="K226" s="66">
        <f>SUM(K222:K225)</f>
        <v>78704</v>
      </c>
      <c r="L226" s="117">
        <f>SUM(L222:L225)</f>
        <v>0.9999999999999999</v>
      </c>
      <c r="M226" s="103"/>
      <c r="N226" s="29"/>
      <c r="O226" s="6"/>
    </row>
    <row r="227" spans="1:15" ht="15.75">
      <c r="A227" s="28"/>
      <c r="B227" s="29"/>
      <c r="C227" s="29"/>
      <c r="D227" s="29"/>
      <c r="E227" s="37"/>
      <c r="F227" s="29"/>
      <c r="G227" s="29"/>
      <c r="H227" s="29"/>
      <c r="I227" s="65"/>
      <c r="J227" s="117"/>
      <c r="K227" s="66"/>
      <c r="L227" s="117"/>
      <c r="M227" s="103"/>
      <c r="N227" s="29"/>
      <c r="O227" s="6"/>
    </row>
    <row r="228" spans="1:15" ht="15.75">
      <c r="A228" s="28"/>
      <c r="B228" s="32" t="s">
        <v>160</v>
      </c>
      <c r="C228" s="119"/>
      <c r="D228" s="119"/>
      <c r="E228" s="120"/>
      <c r="F228" s="119"/>
      <c r="G228" s="120"/>
      <c r="H228" s="119"/>
      <c r="I228" s="120" t="s">
        <v>206</v>
      </c>
      <c r="J228" s="119" t="s">
        <v>208</v>
      </c>
      <c r="K228" s="120" t="s">
        <v>215</v>
      </c>
      <c r="L228" s="119" t="s">
        <v>208</v>
      </c>
      <c r="M228" s="121"/>
      <c r="N228" s="109"/>
      <c r="O228" s="6"/>
    </row>
    <row r="229" spans="1:15" ht="15.75">
      <c r="A229" s="28"/>
      <c r="B229" s="67" t="s">
        <v>156</v>
      </c>
      <c r="C229" s="116"/>
      <c r="D229" s="116"/>
      <c r="E229" s="67"/>
      <c r="F229" s="116"/>
      <c r="G229" s="29"/>
      <c r="H229" s="116"/>
      <c r="I229" s="67">
        <v>16531</v>
      </c>
      <c r="J229" s="116">
        <f>I229/I233</f>
        <v>0.985572050318965</v>
      </c>
      <c r="K229" s="66">
        <v>91816</v>
      </c>
      <c r="L229" s="116">
        <f>K229/K233</f>
        <v>0.984516405747373</v>
      </c>
      <c r="M229" s="103"/>
      <c r="N229" s="109"/>
      <c r="O229" s="6"/>
    </row>
    <row r="230" spans="1:15" ht="15.75">
      <c r="A230" s="28"/>
      <c r="B230" s="67" t="s">
        <v>157</v>
      </c>
      <c r="C230" s="116"/>
      <c r="D230" s="116"/>
      <c r="E230" s="67"/>
      <c r="F230" s="116"/>
      <c r="G230" s="29"/>
      <c r="H230" s="118"/>
      <c r="I230" s="67">
        <v>114</v>
      </c>
      <c r="J230" s="116">
        <f>I230/I233</f>
        <v>0.0067966374530495435</v>
      </c>
      <c r="K230" s="66">
        <v>641</v>
      </c>
      <c r="L230" s="116">
        <f>K230/K233</f>
        <v>0.006873257559511044</v>
      </c>
      <c r="M230" s="103"/>
      <c r="N230" s="109"/>
      <c r="O230" s="6"/>
    </row>
    <row r="231" spans="1:15" ht="15.75">
      <c r="A231" s="28"/>
      <c r="B231" s="67" t="s">
        <v>158</v>
      </c>
      <c r="C231" s="116"/>
      <c r="D231" s="116"/>
      <c r="E231" s="67"/>
      <c r="F231" s="116"/>
      <c r="G231" s="29"/>
      <c r="H231" s="118"/>
      <c r="I231" s="67">
        <v>46</v>
      </c>
      <c r="J231" s="116">
        <f>I231/I233</f>
        <v>0.002742502831932272</v>
      </c>
      <c r="K231" s="66">
        <v>290</v>
      </c>
      <c r="L231" s="116">
        <f>K231/K233</f>
        <v>0.003109586103366931</v>
      </c>
      <c r="M231" s="103"/>
      <c r="N231" s="109"/>
      <c r="O231" s="6"/>
    </row>
    <row r="232" spans="1:15" ht="15.75">
      <c r="A232" s="28"/>
      <c r="B232" s="67" t="s">
        <v>159</v>
      </c>
      <c r="C232" s="116"/>
      <c r="D232" s="116"/>
      <c r="E232" s="67"/>
      <c r="F232" s="116"/>
      <c r="G232" s="29"/>
      <c r="H232" s="118"/>
      <c r="I232" s="67">
        <f>25+20+7+22+8</f>
        <v>82</v>
      </c>
      <c r="J232" s="116">
        <f>I232/I233</f>
        <v>0.004888809396053181</v>
      </c>
      <c r="K232" s="66">
        <f>156+102+69+130+56</f>
        <v>513</v>
      </c>
      <c r="L232" s="116">
        <f>K232/K233</f>
        <v>0.0055007505897490885</v>
      </c>
      <c r="M232" s="103"/>
      <c r="N232" s="109"/>
      <c r="O232" s="6"/>
    </row>
    <row r="233" spans="1:15" ht="15.75">
      <c r="A233" s="28"/>
      <c r="B233" s="29"/>
      <c r="C233" s="29"/>
      <c r="D233" s="29"/>
      <c r="E233" s="37"/>
      <c r="F233" s="29"/>
      <c r="G233" s="29"/>
      <c r="H233" s="29"/>
      <c r="I233" s="65">
        <f>SUM(I229:I232)</f>
        <v>16773</v>
      </c>
      <c r="J233" s="117">
        <f>SUM(J229:J232)</f>
        <v>1</v>
      </c>
      <c r="K233" s="66">
        <f>SUM(K229:K232)</f>
        <v>93260</v>
      </c>
      <c r="L233" s="117">
        <f>SUM(L229:L232)</f>
        <v>1.0000000000000002</v>
      </c>
      <c r="M233" s="103"/>
      <c r="N233" s="29"/>
      <c r="O233" s="6"/>
    </row>
    <row r="234" spans="1:15" ht="15.75">
      <c r="A234" s="28"/>
      <c r="B234" s="29"/>
      <c r="C234" s="29"/>
      <c r="D234" s="29"/>
      <c r="E234" s="37"/>
      <c r="F234" s="29"/>
      <c r="G234" s="29"/>
      <c r="H234" s="29"/>
      <c r="I234" s="65"/>
      <c r="J234" s="117"/>
      <c r="K234" s="66"/>
      <c r="L234" s="117"/>
      <c r="M234" s="103"/>
      <c r="N234" s="29"/>
      <c r="O234" s="6"/>
    </row>
    <row r="235" spans="1:15" ht="15.75">
      <c r="A235" s="28"/>
      <c r="B235" s="29" t="s">
        <v>161</v>
      </c>
      <c r="C235" s="29"/>
      <c r="D235" s="29"/>
      <c r="E235" s="37"/>
      <c r="F235" s="29"/>
      <c r="G235" s="29"/>
      <c r="H235" s="29"/>
      <c r="I235" s="65"/>
      <c r="J235" s="117"/>
      <c r="K235" s="66">
        <f>K226+K233</f>
        <v>171964</v>
      </c>
      <c r="L235" s="117"/>
      <c r="M235" s="103"/>
      <c r="N235" s="29"/>
      <c r="O235" s="6"/>
    </row>
    <row r="236" spans="1:15" ht="15.75">
      <c r="A236" s="28"/>
      <c r="B236" s="29"/>
      <c r="C236" s="29"/>
      <c r="D236" s="29"/>
      <c r="E236" s="37"/>
      <c r="F236" s="29"/>
      <c r="G236" s="29"/>
      <c r="H236" s="29"/>
      <c r="I236" s="65"/>
      <c r="J236" s="117"/>
      <c r="K236" s="66"/>
      <c r="L236" s="117"/>
      <c r="M236" s="103"/>
      <c r="N236" s="29"/>
      <c r="O236" s="6"/>
    </row>
    <row r="237" spans="1:15" ht="15.75">
      <c r="A237" s="28"/>
      <c r="B237" s="29"/>
      <c r="C237" s="29"/>
      <c r="D237" s="29"/>
      <c r="E237" s="37"/>
      <c r="F237" s="29"/>
      <c r="G237" s="29"/>
      <c r="H237" s="29"/>
      <c r="I237" s="65"/>
      <c r="J237" s="117"/>
      <c r="K237" s="66"/>
      <c r="L237" s="117"/>
      <c r="M237" s="103"/>
      <c r="N237" s="29"/>
      <c r="O237" s="6"/>
    </row>
    <row r="238" spans="1:15" ht="15.75">
      <c r="A238" s="122"/>
      <c r="B238" s="17" t="s">
        <v>162</v>
      </c>
      <c r="C238" s="123"/>
      <c r="D238" s="123"/>
      <c r="E238" s="20" t="s">
        <v>182</v>
      </c>
      <c r="F238" s="18"/>
      <c r="G238" s="17" t="s">
        <v>194</v>
      </c>
      <c r="H238" s="124"/>
      <c r="I238" s="124"/>
      <c r="J238" s="124"/>
      <c r="K238" s="125"/>
      <c r="L238" s="14"/>
      <c r="M238" s="14"/>
      <c r="N238" s="14"/>
      <c r="O238" s="6"/>
    </row>
    <row r="239" spans="1:15" ht="15.75">
      <c r="A239" s="122"/>
      <c r="B239" s="15" t="s">
        <v>163</v>
      </c>
      <c r="C239" s="126"/>
      <c r="D239" s="126"/>
      <c r="E239" s="127" t="s">
        <v>183</v>
      </c>
      <c r="F239" s="15"/>
      <c r="G239" s="15" t="s">
        <v>195</v>
      </c>
      <c r="H239" s="126"/>
      <c r="I239" s="126"/>
      <c r="J239" s="14"/>
      <c r="K239" s="14"/>
      <c r="L239" s="14"/>
      <c r="M239" s="14"/>
      <c r="N239" s="14"/>
      <c r="O239" s="6"/>
    </row>
    <row r="240" spans="1:15" ht="15.75">
      <c r="A240" s="122"/>
      <c r="B240" s="15" t="s">
        <v>164</v>
      </c>
      <c r="C240" s="126"/>
      <c r="D240" s="126"/>
      <c r="E240" s="127" t="s">
        <v>184</v>
      </c>
      <c r="F240" s="15"/>
      <c r="G240" s="15" t="s">
        <v>196</v>
      </c>
      <c r="H240" s="126"/>
      <c r="I240" s="126"/>
      <c r="J240" s="14"/>
      <c r="K240" s="14"/>
      <c r="L240" s="14"/>
      <c r="M240" s="14"/>
      <c r="N240" s="14"/>
      <c r="O240" s="6"/>
    </row>
    <row r="241" spans="1:15" ht="15.75">
      <c r="A241" s="122"/>
      <c r="B241" s="15"/>
      <c r="C241" s="126"/>
      <c r="D241" s="126"/>
      <c r="E241" s="127"/>
      <c r="F241" s="15"/>
      <c r="G241" s="15"/>
      <c r="H241" s="126"/>
      <c r="I241" s="126"/>
      <c r="J241" s="14"/>
      <c r="K241" s="14"/>
      <c r="L241" s="14"/>
      <c r="M241" s="14"/>
      <c r="N241" s="14"/>
      <c r="O241" s="6"/>
    </row>
    <row r="242" spans="1:15" ht="15.75">
      <c r="A242" s="122"/>
      <c r="B242" s="15"/>
      <c r="C242" s="126"/>
      <c r="D242" s="126"/>
      <c r="E242" s="127"/>
      <c r="F242" s="15"/>
      <c r="G242" s="15"/>
      <c r="H242" s="126"/>
      <c r="I242" s="126"/>
      <c r="J242" s="14"/>
      <c r="K242" s="14"/>
      <c r="L242" s="14"/>
      <c r="M242" s="14"/>
      <c r="N242" s="14"/>
      <c r="O242" s="6"/>
    </row>
    <row r="243" spans="1:15" ht="15.75">
      <c r="A243" s="122"/>
      <c r="B243" s="15" t="s">
        <v>240</v>
      </c>
      <c r="C243" s="126"/>
      <c r="D243" s="126"/>
      <c r="E243" s="127"/>
      <c r="F243" s="15"/>
      <c r="G243" s="15"/>
      <c r="H243" s="126"/>
      <c r="I243" s="126"/>
      <c r="J243" s="14"/>
      <c r="K243" s="14"/>
      <c r="L243" s="14"/>
      <c r="M243" s="14"/>
      <c r="N243" s="14"/>
      <c r="O243" s="6"/>
    </row>
    <row r="244" spans="1:14" ht="15">
      <c r="A244" s="130"/>
      <c r="B244" s="130"/>
      <c r="C244" s="130"/>
      <c r="D244" s="130"/>
      <c r="E244" s="130"/>
      <c r="F244" s="130"/>
      <c r="G244" s="130"/>
      <c r="H244" s="130"/>
      <c r="I244" s="130"/>
      <c r="J244" s="130"/>
      <c r="K244" s="130"/>
      <c r="L244" s="130"/>
      <c r="M244" s="130"/>
      <c r="N244" s="130"/>
    </row>
  </sheetData>
  <printOptions horizontalCentered="1" verticalCentered="1"/>
  <pageMargins left="0.2362204724409449" right="0.4330708661417323" top="0.2362204724409449" bottom="0.31496062992125984" header="0" footer="0"/>
  <pageSetup horizontalDpi="600" verticalDpi="600" orientation="landscape" paperSize="9" scale="48" r:id="rId2"/>
  <rowBreaks count="3" manualBreakCount="3">
    <brk id="53" max="255" man="1"/>
    <brk id="116" max="255" man="1"/>
    <brk id="174" max="255" man="1"/>
  </rowBreaks>
  <drawing r:id="rId1"/>
</worksheet>
</file>

<file path=xl/worksheets/sheet6.xml><?xml version="1.0" encoding="utf-8"?>
<worksheet xmlns="http://schemas.openxmlformats.org/spreadsheetml/2006/main" xmlns:r="http://schemas.openxmlformats.org/officeDocument/2006/relationships">
  <dimension ref="A1:P24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49.6640625" style="1" customWidth="1"/>
    <col min="3" max="3" width="12.6640625" style="1" customWidth="1"/>
    <col min="4" max="4" width="18.6640625" style="1" customWidth="1"/>
    <col min="5" max="5" width="14.6640625" style="1" customWidth="1"/>
    <col min="6" max="6" width="4.6640625" style="1" customWidth="1"/>
    <col min="7" max="7" width="14.6640625" style="1" customWidth="1"/>
    <col min="8" max="8" width="4.6640625" style="1" customWidth="1"/>
    <col min="9" max="9" width="19.6640625" style="1" customWidth="1"/>
    <col min="10" max="10" width="6.6640625" style="1" customWidth="1"/>
    <col min="11" max="11" width="11.6640625" style="1" customWidth="1"/>
    <col min="12" max="12" width="8.6640625" style="1" customWidth="1"/>
    <col min="13" max="13" width="14.6640625" style="1" customWidth="1"/>
    <col min="14" max="14" width="2.6640625" style="1" customWidth="1"/>
    <col min="15" max="15" width="9.6640625" style="1" customWidth="1"/>
    <col min="16" max="16" width="9.4453125" style="1" customWidth="1"/>
    <col min="17" max="16384" width="9.6640625" style="1" customWidth="1"/>
  </cols>
  <sheetData>
    <row r="1" spans="1:15" ht="20.25">
      <c r="A1" s="2"/>
      <c r="B1" s="3" t="s">
        <v>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44" t="s">
        <v>1</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2</v>
      </c>
      <c r="C5" s="13"/>
      <c r="D5" s="13"/>
      <c r="E5" s="9"/>
      <c r="F5" s="9"/>
      <c r="G5" s="9"/>
      <c r="H5" s="9"/>
      <c r="I5" s="9"/>
      <c r="J5" s="9"/>
      <c r="K5" s="9"/>
      <c r="L5" s="9"/>
      <c r="M5" s="9"/>
      <c r="N5" s="9"/>
      <c r="O5" s="6"/>
    </row>
    <row r="6" spans="1:15" ht="15.75">
      <c r="A6" s="7"/>
      <c r="B6" s="12" t="s">
        <v>3</v>
      </c>
      <c r="C6" s="13"/>
      <c r="D6" s="13"/>
      <c r="E6" s="9"/>
      <c r="F6" s="9"/>
      <c r="G6" s="9"/>
      <c r="H6" s="9"/>
      <c r="I6" s="9"/>
      <c r="J6" s="9"/>
      <c r="K6" s="9"/>
      <c r="L6" s="9"/>
      <c r="M6" s="9"/>
      <c r="N6" s="9"/>
      <c r="O6" s="6"/>
    </row>
    <row r="7" spans="1:15" ht="15.75">
      <c r="A7" s="7"/>
      <c r="B7" s="12" t="s">
        <v>4</v>
      </c>
      <c r="C7" s="13"/>
      <c r="D7" s="13"/>
      <c r="E7" s="9"/>
      <c r="F7" s="9"/>
      <c r="G7" s="9"/>
      <c r="H7" s="9"/>
      <c r="I7" s="9"/>
      <c r="J7" s="9"/>
      <c r="K7" s="9"/>
      <c r="L7" s="9"/>
      <c r="M7" s="9"/>
      <c r="N7" s="9"/>
      <c r="O7" s="6"/>
    </row>
    <row r="8" spans="1:15" ht="15.75">
      <c r="A8" s="7"/>
      <c r="B8" s="14"/>
      <c r="C8" s="13"/>
      <c r="D8" s="13"/>
      <c r="E8" s="9"/>
      <c r="F8" s="9"/>
      <c r="G8" s="9"/>
      <c r="H8" s="9"/>
      <c r="I8" s="9"/>
      <c r="J8" s="9"/>
      <c r="K8" s="9"/>
      <c r="L8" s="9"/>
      <c r="M8" s="9"/>
      <c r="N8" s="9"/>
      <c r="O8" s="6"/>
    </row>
    <row r="9" spans="1:15" ht="15.75">
      <c r="A9" s="7"/>
      <c r="B9" s="13"/>
      <c r="C9" s="13"/>
      <c r="D9" s="13"/>
      <c r="E9" s="15"/>
      <c r="F9" s="15"/>
      <c r="G9" s="9"/>
      <c r="H9" s="9"/>
      <c r="I9" s="9"/>
      <c r="J9" s="9"/>
      <c r="K9" s="9"/>
      <c r="L9" s="9"/>
      <c r="M9" s="9"/>
      <c r="N9" s="9"/>
      <c r="O9" s="6"/>
    </row>
    <row r="10" spans="1:15" ht="15.75">
      <c r="A10" s="7"/>
      <c r="B10" s="15" t="s">
        <v>5</v>
      </c>
      <c r="C10" s="15"/>
      <c r="D10" s="15"/>
      <c r="E10" s="9"/>
      <c r="F10" s="9"/>
      <c r="G10" s="9"/>
      <c r="H10" s="9"/>
      <c r="I10" s="9"/>
      <c r="J10" s="9"/>
      <c r="K10" s="9"/>
      <c r="L10" s="9"/>
      <c r="M10" s="9"/>
      <c r="N10" s="9"/>
      <c r="O10" s="6"/>
    </row>
    <row r="11" spans="1:15" ht="15.75">
      <c r="A11" s="7"/>
      <c r="B11" s="15"/>
      <c r="C11" s="15"/>
      <c r="D11" s="15"/>
      <c r="E11" s="9"/>
      <c r="F11" s="9"/>
      <c r="G11" s="9"/>
      <c r="H11" s="9"/>
      <c r="I11" s="9"/>
      <c r="J11" s="9"/>
      <c r="K11" s="9"/>
      <c r="L11" s="9"/>
      <c r="M11" s="9"/>
      <c r="N11" s="9"/>
      <c r="O11" s="6"/>
    </row>
    <row r="12" spans="1:15" ht="15.75">
      <c r="A12" s="2"/>
      <c r="B12" s="5"/>
      <c r="C12" s="5"/>
      <c r="D12" s="5"/>
      <c r="E12" s="5"/>
      <c r="F12" s="5"/>
      <c r="G12" s="5"/>
      <c r="H12" s="5"/>
      <c r="I12" s="5"/>
      <c r="J12" s="5"/>
      <c r="K12" s="5"/>
      <c r="L12" s="5"/>
      <c r="M12" s="5"/>
      <c r="N12" s="5"/>
      <c r="O12" s="6"/>
    </row>
    <row r="13" spans="1:15" ht="15.75">
      <c r="A13" s="7"/>
      <c r="B13" s="17" t="s">
        <v>6</v>
      </c>
      <c r="C13" s="17"/>
      <c r="D13" s="17"/>
      <c r="E13" s="18"/>
      <c r="F13" s="18"/>
      <c r="G13" s="18"/>
      <c r="H13" s="18"/>
      <c r="I13" s="18"/>
      <c r="J13" s="18"/>
      <c r="K13" s="18"/>
      <c r="L13" s="18"/>
      <c r="M13" s="19" t="s">
        <v>217</v>
      </c>
      <c r="N13" s="9"/>
      <c r="O13" s="6"/>
    </row>
    <row r="14" spans="1:15" ht="15.75">
      <c r="A14" s="7"/>
      <c r="B14" s="17" t="s">
        <v>7</v>
      </c>
      <c r="C14" s="17"/>
      <c r="D14" s="18"/>
      <c r="E14" s="18"/>
      <c r="F14" s="18"/>
      <c r="G14" s="18"/>
      <c r="H14" s="20" t="s">
        <v>197</v>
      </c>
      <c r="I14" s="21">
        <v>0.52</v>
      </c>
      <c r="J14" s="20" t="s">
        <v>207</v>
      </c>
      <c r="K14" s="21">
        <v>0.48</v>
      </c>
      <c r="L14" s="18"/>
      <c r="M14" s="19"/>
      <c r="N14" s="9"/>
      <c r="O14" s="6"/>
    </row>
    <row r="15" spans="1:15" ht="15.75">
      <c r="A15" s="7"/>
      <c r="B15" s="17" t="s">
        <v>8</v>
      </c>
      <c r="C15" s="17"/>
      <c r="D15" s="18"/>
      <c r="E15" s="18"/>
      <c r="F15" s="18"/>
      <c r="G15" s="18"/>
      <c r="H15" s="20" t="s">
        <v>197</v>
      </c>
      <c r="I15" s="21">
        <f>K233/K235</f>
        <v>0.5210896047079328</v>
      </c>
      <c r="J15" s="20" t="s">
        <v>207</v>
      </c>
      <c r="K15" s="21">
        <f>K226/K235</f>
        <v>0.4789103952920673</v>
      </c>
      <c r="L15" s="18"/>
      <c r="M15" s="19"/>
      <c r="N15" s="9"/>
      <c r="O15" s="6"/>
    </row>
    <row r="16" spans="1:15" ht="15.75">
      <c r="A16" s="7"/>
      <c r="B16" s="17" t="s">
        <v>9</v>
      </c>
      <c r="C16" s="17"/>
      <c r="D16" s="17"/>
      <c r="E16" s="18"/>
      <c r="F16" s="18"/>
      <c r="G16" s="18"/>
      <c r="H16" s="18"/>
      <c r="I16" s="18"/>
      <c r="J16" s="18"/>
      <c r="K16" s="18"/>
      <c r="L16" s="18"/>
      <c r="M16" s="20" t="s">
        <v>218</v>
      </c>
      <c r="N16" s="9"/>
      <c r="O16" s="6"/>
    </row>
    <row r="17" spans="1:15" ht="15.75">
      <c r="A17" s="7"/>
      <c r="B17" s="17" t="s">
        <v>10</v>
      </c>
      <c r="C17" s="17"/>
      <c r="D17" s="17"/>
      <c r="E17" s="18"/>
      <c r="F17" s="18"/>
      <c r="G17" s="18"/>
      <c r="H17" s="18"/>
      <c r="I17" s="18"/>
      <c r="J17" s="18"/>
      <c r="K17" s="18"/>
      <c r="L17" s="18"/>
      <c r="M17" s="22">
        <v>37398</v>
      </c>
      <c r="N17" s="9"/>
      <c r="O17" s="6"/>
    </row>
    <row r="18" spans="1:15" ht="15.75">
      <c r="A18" s="7"/>
      <c r="B18" s="9"/>
      <c r="C18" s="9"/>
      <c r="D18" s="9"/>
      <c r="E18" s="9"/>
      <c r="F18" s="9"/>
      <c r="G18" s="9"/>
      <c r="H18" s="9"/>
      <c r="I18" s="9"/>
      <c r="J18" s="9"/>
      <c r="K18" s="9"/>
      <c r="L18" s="9"/>
      <c r="M18" s="23"/>
      <c r="N18" s="9"/>
      <c r="O18" s="6"/>
    </row>
    <row r="19" spans="1:15" ht="15.75">
      <c r="A19" s="7"/>
      <c r="B19" s="24" t="s">
        <v>11</v>
      </c>
      <c r="C19" s="9"/>
      <c r="D19" s="9"/>
      <c r="E19" s="9"/>
      <c r="F19" s="9"/>
      <c r="G19" s="9"/>
      <c r="H19" s="9"/>
      <c r="I19" s="9"/>
      <c r="J19" s="9"/>
      <c r="K19" s="23"/>
      <c r="L19" s="9"/>
      <c r="M19" s="14"/>
      <c r="N19" s="9"/>
      <c r="O19" s="6"/>
    </row>
    <row r="20" spans="1:15" ht="15.75">
      <c r="A20" s="7"/>
      <c r="B20" s="9"/>
      <c r="C20" s="9"/>
      <c r="D20" s="9"/>
      <c r="E20" s="9"/>
      <c r="F20" s="9"/>
      <c r="G20" s="9"/>
      <c r="H20" s="9"/>
      <c r="I20" s="9"/>
      <c r="J20" s="9"/>
      <c r="K20" s="9"/>
      <c r="L20" s="9"/>
      <c r="M20" s="25"/>
      <c r="N20" s="9"/>
      <c r="O20" s="6"/>
    </row>
    <row r="21" spans="1:15" ht="31.5">
      <c r="A21" s="7"/>
      <c r="B21" s="9"/>
      <c r="C21" s="145" t="s">
        <v>165</v>
      </c>
      <c r="D21" s="168" t="s">
        <v>168</v>
      </c>
      <c r="E21" s="168" t="s">
        <v>179</v>
      </c>
      <c r="F21" s="168"/>
      <c r="G21" s="168" t="s">
        <v>185</v>
      </c>
      <c r="H21" s="168"/>
      <c r="I21" s="168" t="s">
        <v>198</v>
      </c>
      <c r="J21" s="26"/>
      <c r="K21" s="27"/>
      <c r="L21" s="14"/>
      <c r="M21" s="14"/>
      <c r="N21" s="9"/>
      <c r="O21" s="6"/>
    </row>
    <row r="22" spans="1:15" ht="15.75">
      <c r="A22" s="28"/>
      <c r="B22" s="29" t="s">
        <v>12</v>
      </c>
      <c r="C22" s="146" t="s">
        <v>166</v>
      </c>
      <c r="D22" s="30" t="s">
        <v>169</v>
      </c>
      <c r="E22" s="30"/>
      <c r="F22" s="30"/>
      <c r="G22" s="30" t="s">
        <v>186</v>
      </c>
      <c r="H22" s="30"/>
      <c r="I22" s="30" t="s">
        <v>199</v>
      </c>
      <c r="J22" s="30"/>
      <c r="K22" s="30"/>
      <c r="L22" s="31"/>
      <c r="M22" s="31"/>
      <c r="N22" s="29"/>
      <c r="O22" s="6"/>
    </row>
    <row r="23" spans="1:15" ht="15.75">
      <c r="A23" s="28"/>
      <c r="B23" s="29" t="s">
        <v>13</v>
      </c>
      <c r="C23" s="32"/>
      <c r="D23" s="33" t="s">
        <v>170</v>
      </c>
      <c r="E23" s="34"/>
      <c r="F23" s="33"/>
      <c r="G23" s="33" t="s">
        <v>187</v>
      </c>
      <c r="H23" s="33"/>
      <c r="I23" s="33" t="s">
        <v>200</v>
      </c>
      <c r="J23" s="35"/>
      <c r="K23" s="35"/>
      <c r="L23" s="36"/>
      <c r="M23" s="31"/>
      <c r="N23" s="29"/>
      <c r="O23" s="6"/>
    </row>
    <row r="24" spans="1:15" ht="15.75">
      <c r="A24" s="28"/>
      <c r="B24" s="32" t="s">
        <v>14</v>
      </c>
      <c r="C24" s="32"/>
      <c r="D24" s="35" t="s">
        <v>169</v>
      </c>
      <c r="E24" s="35"/>
      <c r="F24" s="35"/>
      <c r="G24" s="35" t="s">
        <v>186</v>
      </c>
      <c r="H24" s="35"/>
      <c r="I24" s="35" t="s">
        <v>199</v>
      </c>
      <c r="J24" s="35"/>
      <c r="K24" s="35"/>
      <c r="L24" s="36"/>
      <c r="M24" s="31"/>
      <c r="N24" s="29"/>
      <c r="O24" s="6"/>
    </row>
    <row r="25" spans="1:15" ht="15.75">
      <c r="A25" s="28"/>
      <c r="B25" s="32" t="s">
        <v>15</v>
      </c>
      <c r="C25" s="32"/>
      <c r="D25" s="35" t="s">
        <v>170</v>
      </c>
      <c r="E25" s="35"/>
      <c r="F25" s="35"/>
      <c r="G25" s="35" t="s">
        <v>187</v>
      </c>
      <c r="H25" s="35"/>
      <c r="I25" s="35" t="s">
        <v>200</v>
      </c>
      <c r="J25" s="35"/>
      <c r="K25" s="35"/>
      <c r="L25" s="36"/>
      <c r="M25" s="31"/>
      <c r="N25" s="29"/>
      <c r="O25" s="6"/>
    </row>
    <row r="26" spans="1:15" ht="15.75">
      <c r="A26" s="28"/>
      <c r="B26" s="29" t="s">
        <v>16</v>
      </c>
      <c r="C26" s="29"/>
      <c r="D26" s="37" t="s">
        <v>171</v>
      </c>
      <c r="E26" s="37"/>
      <c r="F26" s="30"/>
      <c r="G26" s="37" t="s">
        <v>188</v>
      </c>
      <c r="H26" s="30"/>
      <c r="I26" s="37" t="s">
        <v>201</v>
      </c>
      <c r="J26" s="30"/>
      <c r="K26" s="37"/>
      <c r="L26" s="31"/>
      <c r="M26" s="31"/>
      <c r="N26" s="29"/>
      <c r="O26" s="6"/>
    </row>
    <row r="27" spans="1:15" ht="15.75">
      <c r="A27" s="28"/>
      <c r="B27" s="29"/>
      <c r="C27" s="29"/>
      <c r="D27" s="29"/>
      <c r="E27" s="29"/>
      <c r="F27" s="30"/>
      <c r="G27" s="30"/>
      <c r="H27" s="30"/>
      <c r="I27" s="30"/>
      <c r="J27" s="30"/>
      <c r="K27" s="30"/>
      <c r="L27" s="31"/>
      <c r="M27" s="31"/>
      <c r="N27" s="29"/>
      <c r="O27" s="6"/>
    </row>
    <row r="28" spans="1:15" ht="15.75">
      <c r="A28" s="28"/>
      <c r="B28" s="29" t="s">
        <v>17</v>
      </c>
      <c r="C28" s="29"/>
      <c r="D28" s="38" t="s">
        <v>172</v>
      </c>
      <c r="E28" s="38">
        <v>168668</v>
      </c>
      <c r="F28" s="39"/>
      <c r="G28" s="38">
        <v>16580</v>
      </c>
      <c r="H28" s="38"/>
      <c r="I28" s="38">
        <v>9750</v>
      </c>
      <c r="J28" s="38"/>
      <c r="K28" s="38"/>
      <c r="L28" s="39" t="s">
        <v>172</v>
      </c>
      <c r="M28" s="38">
        <f>K28+I28+G28+E28</f>
        <v>194998</v>
      </c>
      <c r="N28" s="40"/>
      <c r="O28" s="6"/>
    </row>
    <row r="29" spans="1:15" ht="15.75">
      <c r="A29" s="28"/>
      <c r="B29" s="29" t="s">
        <v>18</v>
      </c>
      <c r="C29" s="41">
        <f>M28/M29</f>
        <v>1</v>
      </c>
      <c r="D29" s="38" t="s">
        <v>173</v>
      </c>
      <c r="E29" s="38">
        <v>168668</v>
      </c>
      <c r="F29" s="39"/>
      <c r="G29" s="38">
        <v>16580</v>
      </c>
      <c r="H29" s="38"/>
      <c r="I29" s="38">
        <v>9750</v>
      </c>
      <c r="J29" s="42"/>
      <c r="K29" s="38"/>
      <c r="L29" s="39" t="s">
        <v>172</v>
      </c>
      <c r="M29" s="38">
        <f>K29+I29+G29+E29</f>
        <v>194998</v>
      </c>
      <c r="N29" s="40"/>
      <c r="O29" s="6"/>
    </row>
    <row r="30" spans="1:15" ht="15.75">
      <c r="A30" s="43"/>
      <c r="B30" s="32" t="s">
        <v>19</v>
      </c>
      <c r="C30" s="44">
        <f>M29/M30</f>
        <v>1</v>
      </c>
      <c r="D30" s="45" t="s">
        <v>172</v>
      </c>
      <c r="E30" s="45">
        <v>168668</v>
      </c>
      <c r="F30" s="46"/>
      <c r="G30" s="45">
        <v>16580</v>
      </c>
      <c r="H30" s="45"/>
      <c r="I30" s="45">
        <v>9750</v>
      </c>
      <c r="J30" s="45"/>
      <c r="K30" s="45"/>
      <c r="L30" s="46" t="s">
        <v>172</v>
      </c>
      <c r="M30" s="45">
        <f>K30+I30+G30+E30</f>
        <v>194998</v>
      </c>
      <c r="N30" s="29"/>
      <c r="O30" s="6"/>
    </row>
    <row r="31" spans="1:15" ht="15.75">
      <c r="A31" s="28"/>
      <c r="B31" s="29" t="s">
        <v>20</v>
      </c>
      <c r="C31" s="47"/>
      <c r="D31" s="37" t="s">
        <v>174</v>
      </c>
      <c r="E31" s="37"/>
      <c r="F31" s="29"/>
      <c r="G31" s="37" t="s">
        <v>189</v>
      </c>
      <c r="H31" s="37"/>
      <c r="I31" s="37" t="s">
        <v>202</v>
      </c>
      <c r="J31" s="37"/>
      <c r="K31" s="37"/>
      <c r="L31" s="31"/>
      <c r="M31" s="31"/>
      <c r="N31" s="29"/>
      <c r="O31" s="6"/>
    </row>
    <row r="32" spans="1:15" ht="15.75">
      <c r="A32" s="28"/>
      <c r="B32" s="29" t="s">
        <v>21</v>
      </c>
      <c r="C32" s="47"/>
      <c r="D32" s="48" t="s">
        <v>175</v>
      </c>
      <c r="E32" s="49">
        <v>0.0442102</v>
      </c>
      <c r="F32" s="50"/>
      <c r="G32" s="48">
        <v>0.0484602</v>
      </c>
      <c r="H32" s="48"/>
      <c r="I32" s="48">
        <v>0.0584602</v>
      </c>
      <c r="J32" s="51"/>
      <c r="K32" s="48"/>
      <c r="L32" s="31"/>
      <c r="M32" s="51">
        <f>SUMPRODUCT(E32:K32,E30:K30)/M30</f>
        <v>0.04528406998841014</v>
      </c>
      <c r="N32" s="29"/>
      <c r="O32" s="6"/>
    </row>
    <row r="33" spans="1:15" ht="15.75">
      <c r="A33" s="28"/>
      <c r="B33" s="29" t="s">
        <v>22</v>
      </c>
      <c r="C33" s="47"/>
      <c r="D33" s="48">
        <v>0.03698</v>
      </c>
      <c r="E33" s="48"/>
      <c r="F33" s="50"/>
      <c r="G33" s="48" t="s">
        <v>175</v>
      </c>
      <c r="H33" s="48"/>
      <c r="I33" s="48" t="s">
        <v>175</v>
      </c>
      <c r="J33" s="51"/>
      <c r="K33" s="48"/>
      <c r="L33" s="31"/>
      <c r="M33" s="51"/>
      <c r="N33" s="29"/>
      <c r="O33" s="6"/>
    </row>
    <row r="34" spans="1:15" ht="15.75">
      <c r="A34" s="28"/>
      <c r="B34" s="29" t="s">
        <v>23</v>
      </c>
      <c r="C34" s="47"/>
      <c r="D34" s="48" t="s">
        <v>175</v>
      </c>
      <c r="E34" s="48"/>
      <c r="F34" s="48"/>
      <c r="G34" s="48">
        <v>0.0474813</v>
      </c>
      <c r="H34" s="48"/>
      <c r="I34" s="48">
        <v>0.0574813</v>
      </c>
      <c r="J34" s="51"/>
      <c r="K34" s="48"/>
      <c r="L34" s="31"/>
      <c r="M34" s="31"/>
      <c r="N34" s="29"/>
      <c r="O34" s="6"/>
    </row>
    <row r="35" spans="1:15" ht="15.75">
      <c r="A35" s="28"/>
      <c r="B35" s="29" t="s">
        <v>24</v>
      </c>
      <c r="C35" s="47"/>
      <c r="D35" s="48">
        <v>0.03691</v>
      </c>
      <c r="E35" s="48"/>
      <c r="F35" s="50"/>
      <c r="G35" s="48" t="s">
        <v>175</v>
      </c>
      <c r="H35" s="48"/>
      <c r="I35" s="48" t="s">
        <v>175</v>
      </c>
      <c r="J35" s="51"/>
      <c r="K35" s="48"/>
      <c r="L35" s="31"/>
      <c r="M35" s="31"/>
      <c r="N35" s="29"/>
      <c r="O35" s="6"/>
    </row>
    <row r="36" spans="1:15" ht="15.75">
      <c r="A36" s="28"/>
      <c r="B36" s="29" t="s">
        <v>25</v>
      </c>
      <c r="C36" s="47"/>
      <c r="D36" s="37" t="s">
        <v>176</v>
      </c>
      <c r="E36" s="37"/>
      <c r="F36" s="29"/>
      <c r="G36" s="37" t="s">
        <v>176</v>
      </c>
      <c r="H36" s="37"/>
      <c r="I36" s="37" t="s">
        <v>176</v>
      </c>
      <c r="J36" s="37"/>
      <c r="K36" s="37"/>
      <c r="L36" s="31"/>
      <c r="M36" s="31"/>
      <c r="N36" s="29"/>
      <c r="O36" s="6"/>
    </row>
    <row r="37" spans="1:15" ht="15.75">
      <c r="A37" s="28"/>
      <c r="B37" s="29" t="s">
        <v>26</v>
      </c>
      <c r="C37" s="29"/>
      <c r="D37" s="52">
        <v>39036</v>
      </c>
      <c r="E37" s="52"/>
      <c r="F37" s="29"/>
      <c r="G37" s="52">
        <v>39036</v>
      </c>
      <c r="H37" s="52"/>
      <c r="I37" s="52">
        <v>39036</v>
      </c>
      <c r="J37" s="37"/>
      <c r="K37" s="37"/>
      <c r="L37" s="31"/>
      <c r="M37" s="31"/>
      <c r="N37" s="29"/>
      <c r="O37" s="6"/>
    </row>
    <row r="38" spans="1:15" ht="15.75">
      <c r="A38" s="28"/>
      <c r="B38" s="29" t="s">
        <v>27</v>
      </c>
      <c r="C38" s="29"/>
      <c r="D38" s="37" t="s">
        <v>177</v>
      </c>
      <c r="E38" s="37"/>
      <c r="F38" s="29"/>
      <c r="G38" s="37" t="s">
        <v>190</v>
      </c>
      <c r="H38" s="37"/>
      <c r="I38" s="37" t="s">
        <v>203</v>
      </c>
      <c r="J38" s="37"/>
      <c r="K38" s="37"/>
      <c r="L38" s="31"/>
      <c r="M38" s="31"/>
      <c r="N38" s="29"/>
      <c r="O38" s="6"/>
    </row>
    <row r="39" spans="1:15" ht="15.75">
      <c r="A39" s="28"/>
      <c r="B39" s="29"/>
      <c r="C39" s="29"/>
      <c r="D39" s="29"/>
      <c r="E39" s="53"/>
      <c r="F39" s="53"/>
      <c r="G39" s="29"/>
      <c r="H39" s="53"/>
      <c r="I39" s="53"/>
      <c r="J39" s="53"/>
      <c r="K39" s="53"/>
      <c r="L39" s="53"/>
      <c r="M39" s="53"/>
      <c r="N39" s="29"/>
      <c r="O39" s="6"/>
    </row>
    <row r="40" spans="1:15" ht="15.75">
      <c r="A40" s="28"/>
      <c r="B40" s="29" t="s">
        <v>28</v>
      </c>
      <c r="C40" s="29"/>
      <c r="D40" s="29"/>
      <c r="E40" s="29"/>
      <c r="F40" s="29"/>
      <c r="G40" s="29"/>
      <c r="H40" s="29"/>
      <c r="I40" s="50"/>
      <c r="J40" s="29"/>
      <c r="K40" s="29"/>
      <c r="L40" s="29"/>
      <c r="M40" s="51">
        <f>(I28+G28)/(E28)</f>
        <v>0.15610548533213175</v>
      </c>
      <c r="N40" s="29"/>
      <c r="O40" s="6"/>
    </row>
    <row r="41" spans="1:15" ht="15.75">
      <c r="A41" s="28"/>
      <c r="B41" s="29" t="s">
        <v>29</v>
      </c>
      <c r="C41" s="29"/>
      <c r="D41" s="29"/>
      <c r="E41" s="29"/>
      <c r="F41" s="29"/>
      <c r="G41" s="29"/>
      <c r="H41" s="29"/>
      <c r="I41" s="50"/>
      <c r="J41" s="29"/>
      <c r="K41" s="29"/>
      <c r="L41" s="29"/>
      <c r="M41" s="51">
        <f>(I30+G30)/(E30)</f>
        <v>0.15610548533213175</v>
      </c>
      <c r="N41" s="29"/>
      <c r="O41" s="6"/>
    </row>
    <row r="42" spans="1:15" ht="15.75">
      <c r="A42" s="28"/>
      <c r="B42" s="29" t="s">
        <v>30</v>
      </c>
      <c r="C42" s="29"/>
      <c r="D42" s="29"/>
      <c r="E42" s="29"/>
      <c r="F42" s="29"/>
      <c r="G42" s="29"/>
      <c r="H42" s="29"/>
      <c r="I42" s="29"/>
      <c r="J42" s="29"/>
      <c r="K42" s="37" t="s">
        <v>168</v>
      </c>
      <c r="L42" s="37" t="s">
        <v>216</v>
      </c>
      <c r="M42" s="38">
        <v>60336</v>
      </c>
      <c r="N42" s="29"/>
      <c r="O42" s="6"/>
    </row>
    <row r="43" spans="1:15" ht="15.75">
      <c r="A43" s="28"/>
      <c r="B43" s="29"/>
      <c r="C43" s="29"/>
      <c r="D43" s="29"/>
      <c r="E43" s="29"/>
      <c r="F43" s="29"/>
      <c r="G43" s="29"/>
      <c r="H43" s="29"/>
      <c r="I43" s="29"/>
      <c r="J43" s="29"/>
      <c r="K43" s="29"/>
      <c r="L43" s="29"/>
      <c r="M43" s="54"/>
      <c r="N43" s="29"/>
      <c r="O43" s="6"/>
    </row>
    <row r="44" spans="1:15" ht="15.75">
      <c r="A44" s="28"/>
      <c r="B44" s="29" t="s">
        <v>31</v>
      </c>
      <c r="C44" s="29"/>
      <c r="D44" s="29"/>
      <c r="E44" s="29"/>
      <c r="F44" s="29"/>
      <c r="G44" s="29"/>
      <c r="H44" s="29"/>
      <c r="I44" s="29"/>
      <c r="J44" s="29"/>
      <c r="K44" s="37"/>
      <c r="L44" s="37"/>
      <c r="M44" s="37" t="s">
        <v>219</v>
      </c>
      <c r="N44" s="29"/>
      <c r="O44" s="6"/>
    </row>
    <row r="45" spans="1:15" ht="15.75">
      <c r="A45" s="43"/>
      <c r="B45" s="32" t="s">
        <v>32</v>
      </c>
      <c r="C45" s="32"/>
      <c r="D45" s="32"/>
      <c r="E45" s="32"/>
      <c r="F45" s="32"/>
      <c r="G45" s="32"/>
      <c r="H45" s="32"/>
      <c r="I45" s="32"/>
      <c r="J45" s="32"/>
      <c r="K45" s="55"/>
      <c r="L45" s="55"/>
      <c r="M45" s="56">
        <v>37391</v>
      </c>
      <c r="N45" s="32"/>
      <c r="O45" s="6"/>
    </row>
    <row r="46" spans="1:15" ht="15.75">
      <c r="A46" s="28"/>
      <c r="B46" s="29" t="s">
        <v>33</v>
      </c>
      <c r="C46" s="29"/>
      <c r="D46" s="29"/>
      <c r="E46" s="29"/>
      <c r="F46" s="29"/>
      <c r="G46" s="29"/>
      <c r="H46" s="29"/>
      <c r="I46" s="31"/>
      <c r="J46" s="29">
        <f>M46-K46+1</f>
        <v>92</v>
      </c>
      <c r="K46" s="58">
        <v>37210</v>
      </c>
      <c r="L46" s="59"/>
      <c r="M46" s="58">
        <v>37301</v>
      </c>
      <c r="N46" s="29"/>
      <c r="O46" s="6"/>
    </row>
    <row r="47" spans="1:15" ht="15.75">
      <c r="A47" s="28"/>
      <c r="B47" s="29" t="s">
        <v>34</v>
      </c>
      <c r="C47" s="29"/>
      <c r="D47" s="29"/>
      <c r="E47" s="29"/>
      <c r="F47" s="29"/>
      <c r="G47" s="29"/>
      <c r="H47" s="29"/>
      <c r="I47" s="31"/>
      <c r="J47" s="29">
        <f>M47-K47+1</f>
        <v>89</v>
      </c>
      <c r="K47" s="58">
        <v>37302</v>
      </c>
      <c r="L47" s="59"/>
      <c r="M47" s="58">
        <v>37390</v>
      </c>
      <c r="N47" s="29"/>
      <c r="O47" s="6"/>
    </row>
    <row r="48" spans="1:15" ht="15.75">
      <c r="A48" s="28"/>
      <c r="B48" s="29" t="s">
        <v>35</v>
      </c>
      <c r="C48" s="29"/>
      <c r="D48" s="29"/>
      <c r="E48" s="29"/>
      <c r="F48" s="29"/>
      <c r="G48" s="29"/>
      <c r="H48" s="29"/>
      <c r="I48" s="29"/>
      <c r="J48" s="29"/>
      <c r="K48" s="58"/>
      <c r="L48" s="59"/>
      <c r="M48" s="58" t="s">
        <v>220</v>
      </c>
      <c r="N48" s="29"/>
      <c r="O48" s="6"/>
    </row>
    <row r="49" spans="1:15" ht="15.75">
      <c r="A49" s="28"/>
      <c r="B49" s="29" t="s">
        <v>36</v>
      </c>
      <c r="C49" s="29"/>
      <c r="D49" s="29"/>
      <c r="E49" s="29"/>
      <c r="F49" s="29"/>
      <c r="G49" s="29"/>
      <c r="H49" s="29"/>
      <c r="I49" s="29"/>
      <c r="J49" s="29"/>
      <c r="K49" s="58"/>
      <c r="L49" s="59"/>
      <c r="M49" s="58" t="s">
        <v>221</v>
      </c>
      <c r="N49" s="29"/>
      <c r="O49" s="6"/>
    </row>
    <row r="50" spans="1:15" ht="15.75">
      <c r="A50" s="28"/>
      <c r="B50" s="29" t="s">
        <v>37</v>
      </c>
      <c r="C50" s="29"/>
      <c r="D50" s="29"/>
      <c r="E50" s="29"/>
      <c r="F50" s="29"/>
      <c r="G50" s="29"/>
      <c r="H50" s="29"/>
      <c r="I50" s="29"/>
      <c r="J50" s="29"/>
      <c r="K50" s="58"/>
      <c r="L50" s="59"/>
      <c r="M50" s="58">
        <v>37380</v>
      </c>
      <c r="N50" s="29"/>
      <c r="O50" s="6"/>
    </row>
    <row r="51" spans="1:15" ht="15.75">
      <c r="A51" s="28"/>
      <c r="B51" s="29"/>
      <c r="C51" s="29"/>
      <c r="D51" s="29"/>
      <c r="E51" s="29"/>
      <c r="F51" s="29"/>
      <c r="G51" s="29"/>
      <c r="H51" s="29"/>
      <c r="I51" s="29"/>
      <c r="J51" s="29"/>
      <c r="K51" s="29"/>
      <c r="L51" s="29"/>
      <c r="M51" s="60"/>
      <c r="N51" s="29"/>
      <c r="O51" s="6"/>
    </row>
    <row r="52" spans="1:15" ht="15.75">
      <c r="A52" s="7"/>
      <c r="B52" s="9"/>
      <c r="C52" s="9"/>
      <c r="D52" s="9"/>
      <c r="E52" s="9"/>
      <c r="F52" s="9"/>
      <c r="G52" s="9"/>
      <c r="H52" s="9"/>
      <c r="I52" s="9"/>
      <c r="J52" s="9"/>
      <c r="K52" s="9"/>
      <c r="L52" s="9"/>
      <c r="M52" s="61"/>
      <c r="N52" s="9"/>
      <c r="O52" s="6"/>
    </row>
    <row r="53" spans="1:15" ht="16.5" thickBot="1">
      <c r="A53" s="134"/>
      <c r="B53" s="135" t="s">
        <v>235</v>
      </c>
      <c r="C53" s="136"/>
      <c r="D53" s="136"/>
      <c r="E53" s="136"/>
      <c r="F53" s="136"/>
      <c r="G53" s="136"/>
      <c r="H53" s="136"/>
      <c r="I53" s="136"/>
      <c r="J53" s="136"/>
      <c r="K53" s="136"/>
      <c r="L53" s="136"/>
      <c r="M53" s="137"/>
      <c r="N53" s="138"/>
      <c r="O53" s="6"/>
    </row>
    <row r="54" spans="1:15" ht="15.75">
      <c r="A54" s="2"/>
      <c r="B54" s="5"/>
      <c r="C54" s="5"/>
      <c r="D54" s="5"/>
      <c r="E54" s="5"/>
      <c r="F54" s="5"/>
      <c r="G54" s="5"/>
      <c r="H54" s="5"/>
      <c r="I54" s="5"/>
      <c r="J54" s="5"/>
      <c r="K54" s="5"/>
      <c r="L54" s="5"/>
      <c r="M54" s="62"/>
      <c r="N54" s="5"/>
      <c r="O54" s="6"/>
    </row>
    <row r="55" spans="1:15" ht="15.75">
      <c r="A55" s="7"/>
      <c r="B55" s="63" t="s">
        <v>39</v>
      </c>
      <c r="C55" s="15"/>
      <c r="D55" s="15"/>
      <c r="E55" s="9"/>
      <c r="F55" s="9"/>
      <c r="G55" s="9"/>
      <c r="H55" s="9"/>
      <c r="I55" s="9"/>
      <c r="J55" s="9"/>
      <c r="K55" s="9"/>
      <c r="L55" s="9"/>
      <c r="M55" s="64"/>
      <c r="N55" s="9"/>
      <c r="O55" s="6"/>
    </row>
    <row r="56" spans="1:15" ht="15.75">
      <c r="A56" s="7"/>
      <c r="B56" s="15"/>
      <c r="C56" s="15"/>
      <c r="D56" s="15"/>
      <c r="E56" s="9"/>
      <c r="F56" s="9"/>
      <c r="G56" s="9"/>
      <c r="H56" s="9"/>
      <c r="I56" s="9"/>
      <c r="J56" s="9"/>
      <c r="K56" s="9"/>
      <c r="L56" s="9"/>
      <c r="M56" s="64"/>
      <c r="N56" s="9"/>
      <c r="O56" s="6"/>
    </row>
    <row r="57" spans="1:15" s="156" customFormat="1" ht="47.25">
      <c r="A57" s="150"/>
      <c r="B57" s="151" t="s">
        <v>40</v>
      </c>
      <c r="C57" s="152" t="s">
        <v>167</v>
      </c>
      <c r="D57" s="152"/>
      <c r="E57" s="152" t="s">
        <v>180</v>
      </c>
      <c r="F57" s="152"/>
      <c r="G57" s="152" t="s">
        <v>191</v>
      </c>
      <c r="H57" s="152"/>
      <c r="I57" s="152" t="s">
        <v>204</v>
      </c>
      <c r="J57" s="152"/>
      <c r="K57" s="152" t="s">
        <v>209</v>
      </c>
      <c r="L57" s="152"/>
      <c r="M57" s="153" t="s">
        <v>222</v>
      </c>
      <c r="N57" s="154"/>
      <c r="O57" s="155"/>
    </row>
    <row r="58" spans="1:15" ht="15.75">
      <c r="A58" s="28"/>
      <c r="B58" s="29" t="s">
        <v>41</v>
      </c>
      <c r="C58" s="65">
        <v>73021</v>
      </c>
      <c r="D58" s="65"/>
      <c r="E58" s="65">
        <v>78704</v>
      </c>
      <c r="F58" s="65"/>
      <c r="G58" s="65">
        <f>11500+16+75</f>
        <v>11591</v>
      </c>
      <c r="H58" s="65"/>
      <c r="I58" s="65">
        <v>13127</v>
      </c>
      <c r="J58" s="65"/>
      <c r="K58" s="65">
        <v>0</v>
      </c>
      <c r="L58" s="65"/>
      <c r="M58" s="66">
        <f>E58-G58+I58-K58</f>
        <v>80240</v>
      </c>
      <c r="N58" s="29"/>
      <c r="O58" s="6"/>
    </row>
    <row r="59" spans="1:15" ht="15.75">
      <c r="A59" s="28"/>
      <c r="B59" s="29" t="s">
        <v>42</v>
      </c>
      <c r="C59" s="65">
        <v>506</v>
      </c>
      <c r="D59" s="65"/>
      <c r="E59" s="65">
        <v>0</v>
      </c>
      <c r="F59" s="65"/>
      <c r="G59" s="65">
        <v>65</v>
      </c>
      <c r="H59" s="65"/>
      <c r="I59" s="65">
        <v>65</v>
      </c>
      <c r="J59" s="65"/>
      <c r="K59" s="65">
        <v>0</v>
      </c>
      <c r="L59" s="65"/>
      <c r="M59" s="66">
        <f>E59-G59+I59-K59</f>
        <v>0</v>
      </c>
      <c r="N59" s="29"/>
      <c r="O59" s="6"/>
    </row>
    <row r="60" spans="1:15" ht="15.75">
      <c r="A60" s="28"/>
      <c r="B60" s="29"/>
      <c r="C60" s="65"/>
      <c r="D60" s="65"/>
      <c r="E60" s="65"/>
      <c r="F60" s="65"/>
      <c r="G60" s="65"/>
      <c r="H60" s="65"/>
      <c r="I60" s="65"/>
      <c r="J60" s="65"/>
      <c r="K60" s="65"/>
      <c r="L60" s="65"/>
      <c r="M60" s="66"/>
      <c r="N60" s="29"/>
      <c r="O60" s="6"/>
    </row>
    <row r="61" spans="1:15" ht="15.75">
      <c r="A61" s="28"/>
      <c r="B61" s="29" t="s">
        <v>43</v>
      </c>
      <c r="C61" s="65">
        <f>SUM(C58:C60)</f>
        <v>73527</v>
      </c>
      <c r="D61" s="65"/>
      <c r="E61" s="65">
        <f>SUM(E58:E60)</f>
        <v>78704</v>
      </c>
      <c r="F61" s="65"/>
      <c r="G61" s="65">
        <f>SUM(G58:G60)</f>
        <v>11656</v>
      </c>
      <c r="H61" s="65"/>
      <c r="I61" s="65">
        <f>SUM(I58:I60)</f>
        <v>13192</v>
      </c>
      <c r="J61" s="65"/>
      <c r="K61" s="65">
        <f>SUM(K58:K60)</f>
        <v>0</v>
      </c>
      <c r="L61" s="65"/>
      <c r="M61" s="67">
        <f>SUM(M58:M60)</f>
        <v>80240</v>
      </c>
      <c r="N61" s="29"/>
      <c r="O61" s="6"/>
    </row>
    <row r="62" spans="1:15" ht="15.75">
      <c r="A62" s="28"/>
      <c r="B62" s="29"/>
      <c r="C62" s="65"/>
      <c r="D62" s="65"/>
      <c r="E62" s="65"/>
      <c r="F62" s="65"/>
      <c r="G62" s="65"/>
      <c r="H62" s="65"/>
      <c r="I62" s="65"/>
      <c r="J62" s="65"/>
      <c r="K62" s="65"/>
      <c r="L62" s="65"/>
      <c r="M62" s="67"/>
      <c r="N62" s="29"/>
      <c r="O62" s="6"/>
    </row>
    <row r="63" spans="1:15" ht="15.75">
      <c r="A63" s="7"/>
      <c r="B63" s="144" t="s">
        <v>44</v>
      </c>
      <c r="C63" s="68"/>
      <c r="D63" s="68"/>
      <c r="E63" s="68"/>
      <c r="F63" s="68"/>
      <c r="G63" s="69"/>
      <c r="H63" s="68"/>
      <c r="I63" s="68"/>
      <c r="J63" s="68"/>
      <c r="K63" s="68"/>
      <c r="L63" s="68"/>
      <c r="M63" s="70"/>
      <c r="N63" s="9"/>
      <c r="O63" s="6"/>
    </row>
    <row r="64" spans="1:15" ht="15.75">
      <c r="A64" s="7"/>
      <c r="B64" s="9"/>
      <c r="C64" s="68"/>
      <c r="D64" s="68"/>
      <c r="E64" s="68"/>
      <c r="F64" s="68"/>
      <c r="G64" s="68"/>
      <c r="H64" s="68"/>
      <c r="I64" s="68"/>
      <c r="J64" s="68"/>
      <c r="K64" s="68"/>
      <c r="L64" s="68"/>
      <c r="M64" s="70"/>
      <c r="N64" s="9"/>
      <c r="O64" s="6"/>
    </row>
    <row r="65" spans="1:15" ht="15.75">
      <c r="A65" s="28"/>
      <c r="B65" s="29" t="s">
        <v>41</v>
      </c>
      <c r="C65" s="65">
        <v>79997</v>
      </c>
      <c r="D65" s="65"/>
      <c r="E65" s="66">
        <v>93260</v>
      </c>
      <c r="F65" s="65"/>
      <c r="G65" s="65">
        <f>13347+423+51</f>
        <v>13821</v>
      </c>
      <c r="H65" s="65"/>
      <c r="I65" s="65">
        <v>7868</v>
      </c>
      <c r="J65" s="65"/>
      <c r="K65" s="65"/>
      <c r="L65" s="65"/>
      <c r="M65" s="66">
        <f>E65-G65+I65-K65</f>
        <v>87307</v>
      </c>
      <c r="N65" s="29"/>
      <c r="O65" s="6"/>
    </row>
    <row r="66" spans="1:15" ht="15.75">
      <c r="A66" s="28"/>
      <c r="B66" s="29" t="s">
        <v>42</v>
      </c>
      <c r="C66" s="65">
        <v>611</v>
      </c>
      <c r="D66" s="65"/>
      <c r="E66" s="66">
        <v>0</v>
      </c>
      <c r="F66" s="65"/>
      <c r="G66" s="65">
        <v>53</v>
      </c>
      <c r="H66" s="65"/>
      <c r="I66" s="65">
        <v>53</v>
      </c>
      <c r="J66" s="65"/>
      <c r="K66" s="65"/>
      <c r="L66" s="65"/>
      <c r="M66" s="66">
        <f>E66-G66+I66-K66</f>
        <v>0</v>
      </c>
      <c r="N66" s="29"/>
      <c r="O66" s="6"/>
    </row>
    <row r="67" spans="1:15" ht="15.75">
      <c r="A67" s="28"/>
      <c r="B67" s="65"/>
      <c r="C67" s="65"/>
      <c r="D67" s="65"/>
      <c r="E67" s="66"/>
      <c r="F67" s="65"/>
      <c r="G67" s="65"/>
      <c r="H67" s="65"/>
      <c r="I67" s="65"/>
      <c r="J67" s="65"/>
      <c r="K67" s="65"/>
      <c r="L67" s="65"/>
      <c r="M67" s="66"/>
      <c r="N67" s="29"/>
      <c r="O67" s="6"/>
    </row>
    <row r="68" spans="1:15" ht="15.75">
      <c r="A68" s="28"/>
      <c r="B68" s="29" t="s">
        <v>43</v>
      </c>
      <c r="C68" s="65">
        <f>SUM(C65:C67)</f>
        <v>80608</v>
      </c>
      <c r="D68" s="65"/>
      <c r="E68" s="65">
        <f>E65</f>
        <v>93260</v>
      </c>
      <c r="F68" s="65"/>
      <c r="G68" s="65">
        <f>SUM(G65:G67)</f>
        <v>13874</v>
      </c>
      <c r="H68" s="65"/>
      <c r="I68" s="65">
        <f>SUM(I65:I67)</f>
        <v>7921</v>
      </c>
      <c r="J68" s="65"/>
      <c r="K68" s="65">
        <f>SUM(K65:K67)</f>
        <v>0</v>
      </c>
      <c r="L68" s="65"/>
      <c r="M68" s="65">
        <f>SUM(M65:M67)</f>
        <v>87307</v>
      </c>
      <c r="N68" s="29"/>
      <c r="O68" s="6"/>
    </row>
    <row r="69" spans="1:15" ht="15.75">
      <c r="A69" s="28"/>
      <c r="B69" s="29"/>
      <c r="C69" s="65"/>
      <c r="D69" s="65"/>
      <c r="E69" s="67"/>
      <c r="F69" s="65"/>
      <c r="G69" s="65"/>
      <c r="H69" s="65"/>
      <c r="I69" s="65"/>
      <c r="J69" s="65"/>
      <c r="K69" s="65"/>
      <c r="L69" s="65"/>
      <c r="M69" s="67"/>
      <c r="N69" s="29"/>
      <c r="O69" s="6"/>
    </row>
    <row r="70" spans="1:15" ht="15.75">
      <c r="A70" s="28"/>
      <c r="B70" s="29" t="s">
        <v>45</v>
      </c>
      <c r="C70" s="65">
        <v>0</v>
      </c>
      <c r="D70" s="65"/>
      <c r="E70" s="65">
        <v>0</v>
      </c>
      <c r="F70" s="65"/>
      <c r="G70" s="65"/>
      <c r="H70" s="65"/>
      <c r="I70" s="65"/>
      <c r="J70" s="65"/>
      <c r="K70" s="65"/>
      <c r="L70" s="65"/>
      <c r="M70" s="65">
        <f>E70+G70</f>
        <v>0</v>
      </c>
      <c r="N70" s="29"/>
      <c r="O70" s="6"/>
    </row>
    <row r="71" spans="1:15" ht="15.75">
      <c r="A71" s="28"/>
      <c r="B71" s="29" t="s">
        <v>46</v>
      </c>
      <c r="C71" s="65">
        <v>0</v>
      </c>
      <c r="D71" s="65"/>
      <c r="E71" s="67">
        <v>2926</v>
      </c>
      <c r="F71" s="65"/>
      <c r="G71" s="65"/>
      <c r="H71" s="65"/>
      <c r="I71" s="65">
        <v>0</v>
      </c>
      <c r="J71" s="65"/>
      <c r="K71" s="65"/>
      <c r="L71" s="65"/>
      <c r="M71" s="67">
        <f>E71+I71</f>
        <v>2926</v>
      </c>
      <c r="N71" s="29"/>
      <c r="O71" s="6"/>
    </row>
    <row r="72" spans="1:16" ht="15.75">
      <c r="A72" s="28"/>
      <c r="B72" s="29" t="s">
        <v>47</v>
      </c>
      <c r="C72" s="65">
        <v>40958</v>
      </c>
      <c r="D72" s="65"/>
      <c r="E72" s="67">
        <v>21841</v>
      </c>
      <c r="F72" s="65"/>
      <c r="G72" s="65">
        <f>G68+G61</f>
        <v>25530</v>
      </c>
      <c r="H72" s="65"/>
      <c r="I72" s="65">
        <f>-I68-I61</f>
        <v>-21113</v>
      </c>
      <c r="J72" s="65"/>
      <c r="K72" s="65"/>
      <c r="L72" s="65"/>
      <c r="M72" s="67">
        <f>E72+G88+I72</f>
        <v>25693</v>
      </c>
      <c r="N72" s="29"/>
      <c r="O72" s="6"/>
      <c r="P72" s="131"/>
    </row>
    <row r="73" spans="1:15" ht="15.75">
      <c r="A73" s="28"/>
      <c r="B73" s="29" t="s">
        <v>48</v>
      </c>
      <c r="C73" s="65">
        <v>0</v>
      </c>
      <c r="D73" s="65"/>
      <c r="E73" s="67">
        <v>1288</v>
      </c>
      <c r="F73" s="65"/>
      <c r="G73" s="65"/>
      <c r="H73" s="65"/>
      <c r="I73" s="65">
        <v>-565</v>
      </c>
      <c r="J73" s="65"/>
      <c r="K73" s="65"/>
      <c r="L73" s="65"/>
      <c r="M73" s="67">
        <f>-I73+E73</f>
        <v>1853</v>
      </c>
      <c r="N73" s="29"/>
      <c r="O73" s="6"/>
    </row>
    <row r="74" spans="1:15" ht="15.75">
      <c r="A74" s="28"/>
      <c r="B74" s="29" t="s">
        <v>49</v>
      </c>
      <c r="C74" s="65">
        <v>-95</v>
      </c>
      <c r="D74" s="65"/>
      <c r="E74" s="67">
        <v>-95</v>
      </c>
      <c r="F74" s="65"/>
      <c r="G74" s="65">
        <v>0</v>
      </c>
      <c r="H74" s="65"/>
      <c r="I74" s="65"/>
      <c r="J74" s="65"/>
      <c r="K74" s="65"/>
      <c r="L74" s="65"/>
      <c r="M74" s="67">
        <f>E74+G74</f>
        <v>-95</v>
      </c>
      <c r="N74" s="29"/>
      <c r="O74" s="6"/>
    </row>
    <row r="75" spans="1:15" ht="15.75">
      <c r="A75" s="28"/>
      <c r="B75" s="29" t="s">
        <v>50</v>
      </c>
      <c r="C75" s="65">
        <v>0</v>
      </c>
      <c r="D75" s="65"/>
      <c r="E75" s="67">
        <v>0</v>
      </c>
      <c r="F75" s="65"/>
      <c r="G75" s="65"/>
      <c r="H75" s="65"/>
      <c r="I75" s="71"/>
      <c r="J75" s="65"/>
      <c r="K75" s="65"/>
      <c r="L75" s="65"/>
      <c r="M75" s="67">
        <v>0</v>
      </c>
      <c r="N75" s="29"/>
      <c r="O75" s="6"/>
    </row>
    <row r="76" spans="1:15" ht="15.75">
      <c r="A76" s="28"/>
      <c r="B76" s="29" t="s">
        <v>19</v>
      </c>
      <c r="C76" s="67">
        <f>SUM(C68:C74)+C61</f>
        <v>194998</v>
      </c>
      <c r="D76" s="67"/>
      <c r="E76" s="67">
        <f>SUM(E68:E75)+E61</f>
        <v>197924</v>
      </c>
      <c r="F76" s="65"/>
      <c r="G76" s="65">
        <f>G72-G74</f>
        <v>25530</v>
      </c>
      <c r="H76" s="65"/>
      <c r="I76" s="65"/>
      <c r="J76" s="65"/>
      <c r="K76" s="65"/>
      <c r="L76" s="65"/>
      <c r="M76" s="67">
        <f>SUM(M68:M75)+M61</f>
        <v>197924</v>
      </c>
      <c r="N76" s="29"/>
      <c r="O76" s="6"/>
    </row>
    <row r="77" spans="1:15" ht="15.75">
      <c r="A77" s="28"/>
      <c r="B77" s="65"/>
      <c r="C77" s="65"/>
      <c r="D77" s="65"/>
      <c r="E77" s="65"/>
      <c r="F77" s="65"/>
      <c r="G77" s="65"/>
      <c r="H77" s="65"/>
      <c r="I77" s="65"/>
      <c r="J77" s="65"/>
      <c r="K77" s="65"/>
      <c r="L77" s="65"/>
      <c r="M77" s="65"/>
      <c r="N77" s="29"/>
      <c r="O77" s="6"/>
    </row>
    <row r="78" spans="1:15" ht="15.75">
      <c r="A78" s="7"/>
      <c r="B78" s="68"/>
      <c r="C78" s="9"/>
      <c r="D78" s="9"/>
      <c r="E78" s="9"/>
      <c r="F78" s="9"/>
      <c r="G78" s="20" t="s">
        <v>192</v>
      </c>
      <c r="H78" s="9"/>
      <c r="I78" s="9"/>
      <c r="J78" s="9"/>
      <c r="K78" s="23"/>
      <c r="L78" s="9"/>
      <c r="M78" s="20" t="s">
        <v>192</v>
      </c>
      <c r="N78" s="9"/>
      <c r="O78" s="6"/>
    </row>
    <row r="79" spans="1:15" ht="15.75">
      <c r="A79" s="7"/>
      <c r="B79" s="63" t="s">
        <v>51</v>
      </c>
      <c r="C79" s="17"/>
      <c r="D79" s="17" t="s">
        <v>178</v>
      </c>
      <c r="E79" s="17" t="s">
        <v>181</v>
      </c>
      <c r="F79" s="17"/>
      <c r="G79" s="20" t="s">
        <v>193</v>
      </c>
      <c r="H79" s="17"/>
      <c r="I79" s="17" t="s">
        <v>178</v>
      </c>
      <c r="J79" s="20"/>
      <c r="K79" s="20" t="s">
        <v>181</v>
      </c>
      <c r="L79" s="20"/>
      <c r="M79" s="20" t="s">
        <v>223</v>
      </c>
      <c r="N79" s="17"/>
      <c r="O79" s="6"/>
    </row>
    <row r="80" spans="1:15" ht="15.75">
      <c r="A80" s="28"/>
      <c r="B80" s="29" t="s">
        <v>52</v>
      </c>
      <c r="C80" s="29"/>
      <c r="D80" s="29">
        <v>0</v>
      </c>
      <c r="E80" s="29">
        <v>0</v>
      </c>
      <c r="F80" s="29"/>
      <c r="G80" s="65">
        <f>SUM(C80:E80)</f>
        <v>0</v>
      </c>
      <c r="H80" s="29"/>
      <c r="I80" s="29">
        <v>0</v>
      </c>
      <c r="J80" s="29"/>
      <c r="K80" s="65">
        <f>SUM(G80:I80)</f>
        <v>0</v>
      </c>
      <c r="L80" s="29"/>
      <c r="M80" s="66">
        <v>0</v>
      </c>
      <c r="N80" s="29"/>
      <c r="O80" s="6"/>
    </row>
    <row r="81" spans="1:15" ht="15.75">
      <c r="A81" s="28"/>
      <c r="B81" s="29" t="s">
        <v>53</v>
      </c>
      <c r="C81" s="53"/>
      <c r="D81" s="29">
        <v>11500</v>
      </c>
      <c r="E81" s="29">
        <v>13347</v>
      </c>
      <c r="F81" s="29"/>
      <c r="G81" s="65">
        <f>E81+D81</f>
        <v>24847</v>
      </c>
      <c r="H81" s="29"/>
      <c r="I81" s="29"/>
      <c r="J81" s="29"/>
      <c r="K81" s="65">
        <v>0</v>
      </c>
      <c r="L81" s="29"/>
      <c r="M81" s="66"/>
      <c r="N81" s="29"/>
      <c r="O81" s="6"/>
    </row>
    <row r="82" spans="1:15" ht="15.75">
      <c r="A82" s="28"/>
      <c r="B82" s="29" t="s">
        <v>54</v>
      </c>
      <c r="C82" s="29"/>
      <c r="D82" s="29"/>
      <c r="E82" s="29"/>
      <c r="F82" s="29"/>
      <c r="G82" s="65"/>
      <c r="H82" s="29"/>
      <c r="I82" s="29">
        <f>1464+116+1519+276+1496+272+12-2051</f>
        <v>3104</v>
      </c>
      <c r="J82" s="29"/>
      <c r="K82" s="65">
        <f>2810+222+3197+232+3328+259+11-6528+29</f>
        <v>3560</v>
      </c>
      <c r="L82" s="29"/>
      <c r="M82" s="66">
        <f>K82+I82</f>
        <v>6664</v>
      </c>
      <c r="N82" s="29"/>
      <c r="O82" s="6"/>
    </row>
    <row r="83" spans="1:15" ht="15.75">
      <c r="A83" s="28"/>
      <c r="B83" s="29" t="s">
        <v>55</v>
      </c>
      <c r="C83" s="29"/>
      <c r="D83" s="29"/>
      <c r="E83" s="29"/>
      <c r="F83" s="29"/>
      <c r="G83" s="65"/>
      <c r="H83" s="29"/>
      <c r="I83" s="29"/>
      <c r="J83" s="29"/>
      <c r="K83" s="65"/>
      <c r="L83" s="29"/>
      <c r="M83" s="66">
        <f>126+73+50</f>
        <v>249</v>
      </c>
      <c r="N83" s="29"/>
      <c r="O83" s="6"/>
    </row>
    <row r="84" spans="1:15" ht="15.75">
      <c r="A84" s="28"/>
      <c r="B84" s="29" t="s">
        <v>56</v>
      </c>
      <c r="C84" s="29"/>
      <c r="D84" s="29"/>
      <c r="E84" s="29"/>
      <c r="F84" s="29"/>
      <c r="G84" s="65"/>
      <c r="H84" s="29"/>
      <c r="I84" s="29"/>
      <c r="J84" s="29"/>
      <c r="K84" s="65"/>
      <c r="L84" s="29"/>
      <c r="M84" s="66">
        <v>0</v>
      </c>
      <c r="N84" s="29"/>
      <c r="O84" s="6"/>
    </row>
    <row r="85" spans="1:15" ht="15.75">
      <c r="A85" s="28"/>
      <c r="B85" s="29" t="s">
        <v>57</v>
      </c>
      <c r="C85" s="29"/>
      <c r="D85" s="29"/>
      <c r="E85" s="29"/>
      <c r="F85" s="29"/>
      <c r="G85" s="65"/>
      <c r="H85" s="29"/>
      <c r="I85" s="29"/>
      <c r="J85" s="29"/>
      <c r="K85" s="65"/>
      <c r="L85" s="29"/>
      <c r="M85" s="66">
        <v>0</v>
      </c>
      <c r="N85" s="29"/>
      <c r="O85" s="6"/>
    </row>
    <row r="86" spans="1:15" ht="15.75">
      <c r="A86" s="28"/>
      <c r="B86" s="29" t="s">
        <v>58</v>
      </c>
      <c r="C86" s="29"/>
      <c r="D86" s="65">
        <f>SUM(D80:D85)</f>
        <v>11500</v>
      </c>
      <c r="E86" s="65">
        <f>SUM(E80:E85)</f>
        <v>13347</v>
      </c>
      <c r="F86" s="29"/>
      <c r="G86" s="65">
        <f>SUM(G80:G85)</f>
        <v>24847</v>
      </c>
      <c r="H86" s="29"/>
      <c r="I86" s="65">
        <f>SUM(I80:I85)</f>
        <v>3104</v>
      </c>
      <c r="J86" s="29"/>
      <c r="K86" s="65">
        <f>SUM(K80:K85)</f>
        <v>3560</v>
      </c>
      <c r="L86" s="29"/>
      <c r="M86" s="67">
        <f>SUM(M80:M85)</f>
        <v>6913</v>
      </c>
      <c r="N86" s="29"/>
      <c r="O86" s="6"/>
    </row>
    <row r="87" spans="1:15" ht="15.75">
      <c r="A87" s="28"/>
      <c r="B87" s="29" t="s">
        <v>59</v>
      </c>
      <c r="C87" s="29"/>
      <c r="D87" s="65">
        <f>G59</f>
        <v>65</v>
      </c>
      <c r="E87" s="65">
        <f>G66</f>
        <v>53</v>
      </c>
      <c r="F87" s="29"/>
      <c r="G87" s="65">
        <f>E87+D87</f>
        <v>118</v>
      </c>
      <c r="H87" s="29"/>
      <c r="I87" s="65">
        <v>0</v>
      </c>
      <c r="J87" s="29"/>
      <c r="K87" s="65">
        <v>0</v>
      </c>
      <c r="L87" s="29"/>
      <c r="M87" s="66">
        <f>-G87</f>
        <v>-118</v>
      </c>
      <c r="N87" s="29"/>
      <c r="O87" s="6"/>
    </row>
    <row r="88" spans="1:15" ht="15.75">
      <c r="A88" s="28"/>
      <c r="B88" s="29" t="s">
        <v>60</v>
      </c>
      <c r="C88" s="29"/>
      <c r="D88" s="65">
        <f>D86+D87</f>
        <v>11565</v>
      </c>
      <c r="E88" s="65">
        <f>E86+E87</f>
        <v>13400</v>
      </c>
      <c r="F88" s="29"/>
      <c r="G88" s="65">
        <f>G86+G87</f>
        <v>24965</v>
      </c>
      <c r="H88" s="29"/>
      <c r="I88" s="65">
        <f>I86+I87</f>
        <v>3104</v>
      </c>
      <c r="J88" s="29"/>
      <c r="K88" s="65">
        <f>K86+K87</f>
        <v>3560</v>
      </c>
      <c r="L88" s="29"/>
      <c r="M88" s="67">
        <f>M86+M87</f>
        <v>6795</v>
      </c>
      <c r="N88" s="29"/>
      <c r="O88" s="6"/>
    </row>
    <row r="89" spans="1:15" ht="15.75">
      <c r="A89" s="28"/>
      <c r="B89" s="157" t="s">
        <v>61</v>
      </c>
      <c r="C89" s="72"/>
      <c r="D89" s="72"/>
      <c r="E89" s="29"/>
      <c r="F89" s="29"/>
      <c r="G89" s="29"/>
      <c r="H89" s="29"/>
      <c r="I89" s="29"/>
      <c r="J89" s="29"/>
      <c r="K89" s="65"/>
      <c r="L89" s="29"/>
      <c r="M89" s="66"/>
      <c r="N89" s="29"/>
      <c r="O89" s="6"/>
    </row>
    <row r="90" spans="1:15" ht="15.75">
      <c r="A90" s="28">
        <v>1</v>
      </c>
      <c r="B90" s="29" t="s">
        <v>62</v>
      </c>
      <c r="C90" s="29"/>
      <c r="D90" s="29"/>
      <c r="E90" s="29"/>
      <c r="F90" s="29"/>
      <c r="G90" s="29"/>
      <c r="H90" s="29"/>
      <c r="I90" s="29"/>
      <c r="J90" s="29"/>
      <c r="K90" s="29"/>
      <c r="L90" s="29"/>
      <c r="M90" s="66">
        <v>-4</v>
      </c>
      <c r="N90" s="29"/>
      <c r="O90" s="6"/>
    </row>
    <row r="91" spans="1:15" ht="15.75">
      <c r="A91" s="28">
        <v>2</v>
      </c>
      <c r="B91" s="29" t="s">
        <v>63</v>
      </c>
      <c r="C91" s="29"/>
      <c r="D91" s="29"/>
      <c r="E91" s="29"/>
      <c r="F91" s="29"/>
      <c r="G91" s="29"/>
      <c r="H91" s="29"/>
      <c r="I91" s="29"/>
      <c r="J91" s="29"/>
      <c r="K91" s="29"/>
      <c r="L91" s="29"/>
      <c r="M91" s="66">
        <f>-206-69</f>
        <v>-275</v>
      </c>
      <c r="N91" s="29"/>
      <c r="O91" s="6"/>
    </row>
    <row r="92" spans="1:15" ht="15.75">
      <c r="A92" s="28">
        <v>3</v>
      </c>
      <c r="B92" s="29" t="s">
        <v>64</v>
      </c>
      <c r="C92" s="29"/>
      <c r="D92" s="29"/>
      <c r="E92" s="29"/>
      <c r="F92" s="29"/>
      <c r="G92" s="29"/>
      <c r="H92" s="29"/>
      <c r="I92" s="29"/>
      <c r="J92" s="29"/>
      <c r="K92" s="29"/>
      <c r="L92" s="29"/>
      <c r="M92" s="66">
        <v>-1818</v>
      </c>
      <c r="N92" s="29"/>
      <c r="O92" s="6"/>
    </row>
    <row r="93" spans="1:15" ht="15.75">
      <c r="A93" s="28">
        <v>4</v>
      </c>
      <c r="B93" s="29" t="s">
        <v>227</v>
      </c>
      <c r="C93" s="29"/>
      <c r="D93" s="29"/>
      <c r="E93" s="29"/>
      <c r="F93" s="29"/>
      <c r="G93" s="29"/>
      <c r="H93" s="29"/>
      <c r="I93" s="29"/>
      <c r="J93" s="29"/>
      <c r="K93" s="29"/>
      <c r="L93" s="29"/>
      <c r="M93" s="66">
        <v>-335</v>
      </c>
      <c r="N93" s="29"/>
      <c r="O93" s="6"/>
    </row>
    <row r="94" spans="1:15" ht="15.75">
      <c r="A94" s="28">
        <v>4</v>
      </c>
      <c r="B94" s="29" t="s">
        <v>65</v>
      </c>
      <c r="C94" s="29"/>
      <c r="D94" s="29"/>
      <c r="E94" s="29"/>
      <c r="F94" s="29"/>
      <c r="G94" s="29"/>
      <c r="H94" s="29"/>
      <c r="I94" s="29"/>
      <c r="J94" s="29"/>
      <c r="K94" s="29"/>
      <c r="L94" s="29"/>
      <c r="M94" s="66">
        <v>-5</v>
      </c>
      <c r="N94" s="29"/>
      <c r="O94" s="6"/>
    </row>
    <row r="95" spans="1:15" ht="15.75">
      <c r="A95" s="28">
        <v>5</v>
      </c>
      <c r="B95" s="29" t="s">
        <v>66</v>
      </c>
      <c r="C95" s="29"/>
      <c r="D95" s="29"/>
      <c r="E95" s="29"/>
      <c r="F95" s="29"/>
      <c r="G95" s="29"/>
      <c r="H95" s="29"/>
      <c r="I95" s="29"/>
      <c r="J95" s="29"/>
      <c r="K95" s="29"/>
      <c r="L95" s="29"/>
      <c r="M95" s="66">
        <v>-196</v>
      </c>
      <c r="N95" s="29"/>
      <c r="O95" s="6"/>
    </row>
    <row r="96" spans="1:15" ht="15.75">
      <c r="A96" s="28">
        <v>6</v>
      </c>
      <c r="B96" s="29" t="s">
        <v>67</v>
      </c>
      <c r="C96" s="29"/>
      <c r="D96" s="29"/>
      <c r="E96" s="29"/>
      <c r="F96" s="29"/>
      <c r="G96" s="29"/>
      <c r="H96" s="29"/>
      <c r="I96" s="29"/>
      <c r="J96" s="29"/>
      <c r="K96" s="29"/>
      <c r="L96" s="29"/>
      <c r="M96" s="66">
        <v>-139</v>
      </c>
      <c r="N96" s="29"/>
      <c r="O96" s="6"/>
    </row>
    <row r="97" spans="1:15" ht="15.75">
      <c r="A97" s="28">
        <v>7</v>
      </c>
      <c r="B97" s="29" t="s">
        <v>68</v>
      </c>
      <c r="C97" s="29"/>
      <c r="D97" s="29"/>
      <c r="E97" s="29"/>
      <c r="F97" s="29"/>
      <c r="G97" s="29"/>
      <c r="H97" s="29"/>
      <c r="I97" s="29"/>
      <c r="J97" s="29"/>
      <c r="K97" s="29"/>
      <c r="L97" s="29"/>
      <c r="M97" s="66">
        <v>0</v>
      </c>
      <c r="N97" s="29"/>
      <c r="O97" s="6"/>
    </row>
    <row r="98" spans="1:15" ht="15.75">
      <c r="A98" s="28">
        <v>8</v>
      </c>
      <c r="B98" s="29" t="s">
        <v>69</v>
      </c>
      <c r="C98" s="29"/>
      <c r="D98" s="29"/>
      <c r="E98" s="29"/>
      <c r="F98" s="29"/>
      <c r="G98" s="29"/>
      <c r="H98" s="29"/>
      <c r="I98" s="29"/>
      <c r="J98" s="29"/>
      <c r="K98" s="65">
        <f>-M98</f>
        <v>565</v>
      </c>
      <c r="L98" s="29"/>
      <c r="M98" s="66">
        <f>I73</f>
        <v>-565</v>
      </c>
      <c r="N98" s="29"/>
      <c r="O98" s="6"/>
    </row>
    <row r="99" spans="1:15" ht="15.75">
      <c r="A99" s="28">
        <v>9</v>
      </c>
      <c r="B99" s="29" t="s">
        <v>46</v>
      </c>
      <c r="C99" s="29"/>
      <c r="D99" s="29"/>
      <c r="E99" s="29"/>
      <c r="F99" s="29"/>
      <c r="G99" s="29"/>
      <c r="H99" s="29"/>
      <c r="I99" s="29"/>
      <c r="J99" s="29"/>
      <c r="K99" s="65">
        <f>-M99</f>
        <v>0</v>
      </c>
      <c r="L99" s="29"/>
      <c r="M99" s="66">
        <v>0</v>
      </c>
      <c r="N99" s="29"/>
      <c r="O99" s="6"/>
    </row>
    <row r="100" spans="1:15" ht="15.75">
      <c r="A100" s="28">
        <v>10</v>
      </c>
      <c r="B100" s="29" t="s">
        <v>228</v>
      </c>
      <c r="C100" s="29"/>
      <c r="D100" s="29"/>
      <c r="E100" s="29"/>
      <c r="F100" s="29"/>
      <c r="G100" s="29"/>
      <c r="H100" s="29"/>
      <c r="I100" s="29"/>
      <c r="J100" s="29"/>
      <c r="K100" s="29"/>
      <c r="L100" s="29"/>
      <c r="M100" s="66">
        <v>-142</v>
      </c>
      <c r="N100" s="29"/>
      <c r="O100" s="6"/>
    </row>
    <row r="101" spans="1:15" ht="15.75">
      <c r="A101" s="28">
        <v>11</v>
      </c>
      <c r="B101" s="29" t="s">
        <v>71</v>
      </c>
      <c r="C101" s="29"/>
      <c r="D101" s="29"/>
      <c r="E101" s="29"/>
      <c r="F101" s="29"/>
      <c r="G101" s="29"/>
      <c r="H101" s="29"/>
      <c r="I101" s="29"/>
      <c r="J101" s="29"/>
      <c r="K101" s="29"/>
      <c r="L101" s="29"/>
      <c r="M101" s="66">
        <f>SUM(M88:M100)*-1</f>
        <v>-3316</v>
      </c>
      <c r="N101" s="29"/>
      <c r="O101" s="6"/>
    </row>
    <row r="102" spans="1:15" ht="15.75">
      <c r="A102" s="28"/>
      <c r="B102" s="157" t="s">
        <v>72</v>
      </c>
      <c r="C102" s="72"/>
      <c r="D102" s="72"/>
      <c r="E102" s="29"/>
      <c r="F102" s="29"/>
      <c r="G102" s="29"/>
      <c r="H102" s="29"/>
      <c r="I102" s="29"/>
      <c r="J102" s="29"/>
      <c r="K102" s="29"/>
      <c r="L102" s="29"/>
      <c r="M102" s="73"/>
      <c r="N102" s="29"/>
      <c r="O102" s="6"/>
    </row>
    <row r="103" spans="1:15" ht="15.75">
      <c r="A103" s="28"/>
      <c r="B103" s="74" t="s">
        <v>73</v>
      </c>
      <c r="C103" s="72"/>
      <c r="D103" s="72"/>
      <c r="E103" s="29"/>
      <c r="F103" s="29"/>
      <c r="G103" s="29"/>
      <c r="H103" s="29"/>
      <c r="I103" s="29"/>
      <c r="J103" s="29"/>
      <c r="K103" s="65">
        <f>E72</f>
        <v>21841</v>
      </c>
      <c r="L103" s="29"/>
      <c r="M103" s="73"/>
      <c r="N103" s="29"/>
      <c r="O103" s="6"/>
    </row>
    <row r="104" spans="1:15" ht="15.75">
      <c r="A104" s="28"/>
      <c r="B104" s="74" t="s">
        <v>74</v>
      </c>
      <c r="C104" s="72"/>
      <c r="D104" s="72"/>
      <c r="E104" s="29"/>
      <c r="F104" s="29"/>
      <c r="G104" s="29"/>
      <c r="H104" s="29"/>
      <c r="I104" s="29"/>
      <c r="J104" s="29"/>
      <c r="K104" s="65">
        <f>G88</f>
        <v>24965</v>
      </c>
      <c r="L104" s="29"/>
      <c r="M104" s="73"/>
      <c r="N104" s="29"/>
      <c r="O104" s="6"/>
    </row>
    <row r="105" spans="1:15" ht="15.75">
      <c r="A105" s="75"/>
      <c r="B105" s="29" t="s">
        <v>75</v>
      </c>
      <c r="C105" s="72"/>
      <c r="D105" s="72"/>
      <c r="E105" s="29"/>
      <c r="F105" s="29"/>
      <c r="G105" s="29"/>
      <c r="H105" s="29"/>
      <c r="I105" s="29"/>
      <c r="J105" s="29"/>
      <c r="K105" s="65">
        <f>-I68-I61</f>
        <v>-21113</v>
      </c>
      <c r="L105" s="29"/>
      <c r="M105" s="73"/>
      <c r="N105" s="29"/>
      <c r="O105" s="6"/>
    </row>
    <row r="106" spans="1:15" ht="15.75">
      <c r="A106" s="28"/>
      <c r="B106" s="29" t="s">
        <v>76</v>
      </c>
      <c r="C106" s="72"/>
      <c r="D106" s="72"/>
      <c r="E106" s="29"/>
      <c r="F106" s="29"/>
      <c r="G106" s="29"/>
      <c r="H106" s="29"/>
      <c r="I106" s="29"/>
      <c r="J106" s="29"/>
      <c r="K106" s="65">
        <v>0</v>
      </c>
      <c r="L106" s="65"/>
      <c r="M106" s="66"/>
      <c r="N106" s="29"/>
      <c r="O106" s="6"/>
    </row>
    <row r="107" spans="1:15" ht="15.75">
      <c r="A107" s="28"/>
      <c r="B107" s="29" t="s">
        <v>77</v>
      </c>
      <c r="C107" s="29"/>
      <c r="D107" s="29"/>
      <c r="E107" s="29"/>
      <c r="F107" s="29"/>
      <c r="G107" s="29"/>
      <c r="H107" s="29"/>
      <c r="I107" s="29"/>
      <c r="J107" s="29"/>
      <c r="K107" s="65">
        <v>0</v>
      </c>
      <c r="L107" s="65"/>
      <c r="M107" s="66"/>
      <c r="N107" s="29"/>
      <c r="O107" s="6"/>
    </row>
    <row r="108" spans="1:15" ht="15.75">
      <c r="A108" s="28"/>
      <c r="B108" s="29" t="s">
        <v>78</v>
      </c>
      <c r="C108" s="29"/>
      <c r="D108" s="29"/>
      <c r="E108" s="29"/>
      <c r="F108" s="29"/>
      <c r="G108" s="29"/>
      <c r="H108" s="29"/>
      <c r="I108" s="29"/>
      <c r="J108" s="29"/>
      <c r="K108" s="65">
        <v>0</v>
      </c>
      <c r="L108" s="65"/>
      <c r="M108" s="66"/>
      <c r="N108" s="29"/>
      <c r="O108" s="6"/>
    </row>
    <row r="109" spans="1:15" ht="15.75">
      <c r="A109" s="28"/>
      <c r="B109" s="29" t="s">
        <v>79</v>
      </c>
      <c r="C109" s="29"/>
      <c r="D109" s="29"/>
      <c r="E109" s="29"/>
      <c r="F109" s="29"/>
      <c r="G109" s="29"/>
      <c r="H109" s="29"/>
      <c r="I109" s="29"/>
      <c r="J109" s="29"/>
      <c r="K109" s="65">
        <v>0</v>
      </c>
      <c r="L109" s="65"/>
      <c r="M109" s="66"/>
      <c r="N109" s="29"/>
      <c r="O109" s="6"/>
    </row>
    <row r="110" spans="1:15" ht="15.75">
      <c r="A110" s="28"/>
      <c r="B110" s="29" t="s">
        <v>80</v>
      </c>
      <c r="C110" s="29"/>
      <c r="D110" s="29"/>
      <c r="E110" s="29"/>
      <c r="F110" s="29"/>
      <c r="G110" s="29"/>
      <c r="H110" s="29"/>
      <c r="I110" s="29"/>
      <c r="J110" s="29"/>
      <c r="K110" s="65">
        <v>0</v>
      </c>
      <c r="L110" s="65"/>
      <c r="M110" s="66"/>
      <c r="N110" s="29"/>
      <c r="O110" s="6"/>
    </row>
    <row r="111" spans="1:15" ht="15.75">
      <c r="A111" s="28"/>
      <c r="B111" s="29" t="s">
        <v>81</v>
      </c>
      <c r="C111" s="29"/>
      <c r="D111" s="29"/>
      <c r="E111" s="29"/>
      <c r="F111" s="29"/>
      <c r="G111" s="29"/>
      <c r="H111" s="29"/>
      <c r="I111" s="29"/>
      <c r="J111" s="29"/>
      <c r="K111" s="65">
        <v>0</v>
      </c>
      <c r="L111" s="65"/>
      <c r="M111" s="66"/>
      <c r="N111" s="29"/>
      <c r="O111" s="6"/>
    </row>
    <row r="112" spans="1:15" ht="15.75">
      <c r="A112" s="28"/>
      <c r="B112" s="29" t="s">
        <v>82</v>
      </c>
      <c r="C112" s="29"/>
      <c r="D112" s="29"/>
      <c r="E112" s="29"/>
      <c r="F112" s="29"/>
      <c r="G112" s="29"/>
      <c r="H112" s="29"/>
      <c r="I112" s="29"/>
      <c r="J112" s="29"/>
      <c r="K112" s="65">
        <f>SUM(K105:K111)</f>
        <v>-21113</v>
      </c>
      <c r="L112" s="65"/>
      <c r="M112" s="65">
        <f>SUM(M89:M101)</f>
        <v>-6795</v>
      </c>
      <c r="N112" s="29"/>
      <c r="O112" s="6"/>
    </row>
    <row r="113" spans="1:15" ht="15.75">
      <c r="A113" s="28"/>
      <c r="B113" s="29" t="s">
        <v>83</v>
      </c>
      <c r="C113" s="29"/>
      <c r="D113" s="29"/>
      <c r="E113" s="29"/>
      <c r="F113" s="29"/>
      <c r="G113" s="29"/>
      <c r="H113" s="29"/>
      <c r="I113" s="29"/>
      <c r="J113" s="29"/>
      <c r="K113" s="65">
        <f>SUM(K103:K111)+SUM(K98:K99)</f>
        <v>26258</v>
      </c>
      <c r="L113" s="65"/>
      <c r="M113" s="65">
        <f>M88+M112</f>
        <v>0</v>
      </c>
      <c r="N113" s="29"/>
      <c r="O113" s="6"/>
    </row>
    <row r="114" spans="1:15" ht="15.75">
      <c r="A114" s="28"/>
      <c r="B114" s="29"/>
      <c r="C114" s="29"/>
      <c r="D114" s="29"/>
      <c r="E114" s="29"/>
      <c r="F114" s="29"/>
      <c r="G114" s="29"/>
      <c r="H114" s="29"/>
      <c r="I114" s="29"/>
      <c r="J114" s="29"/>
      <c r="K114" s="65"/>
      <c r="L114" s="65"/>
      <c r="M114" s="65"/>
      <c r="N114" s="29"/>
      <c r="O114" s="6"/>
    </row>
    <row r="115" spans="1:15" ht="15.75">
      <c r="A115" s="7"/>
      <c r="B115" s="14"/>
      <c r="C115" s="9"/>
      <c r="D115" s="9"/>
      <c r="E115" s="9"/>
      <c r="F115" s="9"/>
      <c r="G115" s="9"/>
      <c r="H115" s="9"/>
      <c r="I115" s="9"/>
      <c r="J115" s="9"/>
      <c r="K115" s="68"/>
      <c r="L115" s="68"/>
      <c r="M115" s="68"/>
      <c r="N115" s="9"/>
      <c r="O115" s="6"/>
    </row>
    <row r="116" spans="1:15" ht="16.5" thickBot="1">
      <c r="A116" s="134"/>
      <c r="B116" s="135" t="s">
        <v>235</v>
      </c>
      <c r="C116" s="136"/>
      <c r="D116" s="136"/>
      <c r="E116" s="136"/>
      <c r="F116" s="136"/>
      <c r="G116" s="136"/>
      <c r="H116" s="136"/>
      <c r="I116" s="136"/>
      <c r="J116" s="136"/>
      <c r="K116" s="139"/>
      <c r="L116" s="139"/>
      <c r="M116" s="139"/>
      <c r="N116" s="138"/>
      <c r="O116" s="6"/>
    </row>
    <row r="117" spans="1:15" ht="15.75">
      <c r="A117" s="2"/>
      <c r="B117" s="5"/>
      <c r="C117" s="5"/>
      <c r="D117" s="5"/>
      <c r="E117" s="5"/>
      <c r="F117" s="5"/>
      <c r="G117" s="5"/>
      <c r="H117" s="5"/>
      <c r="I117" s="5"/>
      <c r="J117" s="5"/>
      <c r="K117" s="76"/>
      <c r="L117" s="76"/>
      <c r="M117" s="76"/>
      <c r="N117" s="5"/>
      <c r="O117" s="6"/>
    </row>
    <row r="118" spans="1:15" ht="15.75">
      <c r="A118" s="7"/>
      <c r="B118" s="9"/>
      <c r="C118" s="9"/>
      <c r="D118" s="9"/>
      <c r="E118" s="9"/>
      <c r="F118" s="9"/>
      <c r="G118" s="9"/>
      <c r="H118" s="9"/>
      <c r="I118" s="9"/>
      <c r="J118" s="9"/>
      <c r="K118" s="9"/>
      <c r="L118" s="9"/>
      <c r="M118" s="64"/>
      <c r="N118" s="9"/>
      <c r="O118" s="6"/>
    </row>
    <row r="119" spans="1:15" ht="15.75">
      <c r="A119" s="77"/>
      <c r="B119" s="78"/>
      <c r="C119" s="78"/>
      <c r="D119" s="78"/>
      <c r="E119" s="78"/>
      <c r="F119" s="78"/>
      <c r="G119" s="78"/>
      <c r="H119" s="78"/>
      <c r="I119" s="78"/>
      <c r="J119" s="78"/>
      <c r="K119" s="78"/>
      <c r="L119" s="78"/>
      <c r="M119" s="79"/>
      <c r="N119" s="78"/>
      <c r="O119" s="6"/>
    </row>
    <row r="120" spans="1:15" ht="15.75">
      <c r="A120" s="77"/>
      <c r="B120" s="80" t="s">
        <v>84</v>
      </c>
      <c r="C120" s="78"/>
      <c r="D120" s="78"/>
      <c r="E120" s="78"/>
      <c r="F120" s="78"/>
      <c r="G120" s="78"/>
      <c r="H120" s="78"/>
      <c r="I120" s="78"/>
      <c r="J120" s="78"/>
      <c r="K120" s="78"/>
      <c r="L120" s="78"/>
      <c r="M120" s="79"/>
      <c r="N120" s="81"/>
      <c r="O120" s="6"/>
    </row>
    <row r="121" spans="1:15" ht="15.75">
      <c r="A121" s="77"/>
      <c r="B121" s="78"/>
      <c r="C121" s="78"/>
      <c r="D121" s="78"/>
      <c r="E121" s="78"/>
      <c r="F121" s="78"/>
      <c r="G121" s="78"/>
      <c r="H121" s="78"/>
      <c r="I121" s="78"/>
      <c r="J121" s="78"/>
      <c r="K121" s="78"/>
      <c r="L121" s="78"/>
      <c r="M121" s="79"/>
      <c r="N121" s="78"/>
      <c r="O121" s="6"/>
    </row>
    <row r="122" spans="1:15" ht="15.75">
      <c r="A122" s="7"/>
      <c r="B122" s="158" t="s">
        <v>85</v>
      </c>
      <c r="C122" s="15"/>
      <c r="D122" s="15"/>
      <c r="E122" s="9"/>
      <c r="F122" s="9"/>
      <c r="G122" s="9"/>
      <c r="H122" s="9"/>
      <c r="I122" s="9"/>
      <c r="J122" s="9"/>
      <c r="K122" s="9"/>
      <c r="L122" s="9"/>
      <c r="M122" s="64"/>
      <c r="N122" s="9"/>
      <c r="O122" s="6"/>
    </row>
    <row r="123" spans="1:15" ht="15.75">
      <c r="A123" s="28"/>
      <c r="B123" s="29" t="s">
        <v>86</v>
      </c>
      <c r="C123" s="29"/>
      <c r="D123" s="29"/>
      <c r="E123" s="29"/>
      <c r="F123" s="29"/>
      <c r="G123" s="29"/>
      <c r="H123" s="29"/>
      <c r="I123" s="29"/>
      <c r="J123" s="29"/>
      <c r="K123" s="29"/>
      <c r="L123" s="29"/>
      <c r="M123" s="66">
        <v>5852</v>
      </c>
      <c r="N123" s="29"/>
      <c r="O123" s="6"/>
    </row>
    <row r="124" spans="1:15" ht="15.75">
      <c r="A124" s="28"/>
      <c r="B124" s="29" t="s">
        <v>87</v>
      </c>
      <c r="C124" s="29"/>
      <c r="D124" s="29"/>
      <c r="E124" s="29"/>
      <c r="F124" s="29"/>
      <c r="G124" s="29"/>
      <c r="H124" s="29"/>
      <c r="I124" s="29"/>
      <c r="J124" s="29"/>
      <c r="K124" s="29"/>
      <c r="L124" s="29"/>
      <c r="M124" s="66">
        <v>0</v>
      </c>
      <c r="N124" s="29"/>
      <c r="O124" s="6"/>
    </row>
    <row r="125" spans="1:15" ht="15.75">
      <c r="A125" s="28"/>
      <c r="B125" s="29" t="s">
        <v>88</v>
      </c>
      <c r="C125" s="29"/>
      <c r="D125" s="29"/>
      <c r="E125" s="29"/>
      <c r="F125" s="29"/>
      <c r="G125" s="29"/>
      <c r="H125" s="29"/>
      <c r="I125" s="29"/>
      <c r="J125" s="29"/>
      <c r="K125" s="29"/>
      <c r="L125" s="29"/>
      <c r="M125" s="66">
        <v>0</v>
      </c>
      <c r="N125" s="29"/>
      <c r="O125" s="6"/>
    </row>
    <row r="126" spans="1:15" ht="15.75">
      <c r="A126" s="28"/>
      <c r="B126" s="29" t="s">
        <v>89</v>
      </c>
      <c r="C126" s="29"/>
      <c r="D126" s="29"/>
      <c r="E126" s="29"/>
      <c r="F126" s="29"/>
      <c r="G126" s="29"/>
      <c r="H126" s="29"/>
      <c r="I126" s="29"/>
      <c r="J126" s="29"/>
      <c r="K126" s="29"/>
      <c r="L126" s="29"/>
      <c r="M126" s="66">
        <v>0</v>
      </c>
      <c r="N126" s="29"/>
      <c r="O126" s="6"/>
    </row>
    <row r="127" spans="1:15" ht="15.75">
      <c r="A127" s="28"/>
      <c r="B127" s="29" t="s">
        <v>90</v>
      </c>
      <c r="C127" s="29"/>
      <c r="D127" s="29"/>
      <c r="E127" s="29"/>
      <c r="F127" s="29"/>
      <c r="G127" s="29"/>
      <c r="H127" s="29"/>
      <c r="I127" s="29"/>
      <c r="J127" s="29"/>
      <c r="K127" s="29"/>
      <c r="L127" s="29"/>
      <c r="M127" s="66">
        <v>0</v>
      </c>
      <c r="N127" s="29"/>
      <c r="O127" s="6"/>
    </row>
    <row r="128" spans="1:15" ht="15.75">
      <c r="A128" s="28"/>
      <c r="B128" s="29" t="s">
        <v>91</v>
      </c>
      <c r="C128" s="29"/>
      <c r="D128" s="29"/>
      <c r="E128" s="29"/>
      <c r="F128" s="29"/>
      <c r="G128" s="29"/>
      <c r="H128" s="29"/>
      <c r="I128" s="29"/>
      <c r="J128" s="29"/>
      <c r="K128" s="29"/>
      <c r="L128" s="29"/>
      <c r="M128" s="66">
        <v>0</v>
      </c>
      <c r="N128" s="29"/>
      <c r="O128" s="6"/>
    </row>
    <row r="129" spans="1:15" ht="15.75">
      <c r="A129" s="28"/>
      <c r="B129" s="29" t="s">
        <v>66</v>
      </c>
      <c r="C129" s="29"/>
      <c r="D129" s="29"/>
      <c r="E129" s="29"/>
      <c r="F129" s="29"/>
      <c r="G129" s="29"/>
      <c r="H129" s="29"/>
      <c r="I129" s="29"/>
      <c r="J129" s="29"/>
      <c r="K129" s="29"/>
      <c r="L129" s="29"/>
      <c r="M129" s="66">
        <v>0</v>
      </c>
      <c r="N129" s="29"/>
      <c r="O129" s="6"/>
    </row>
    <row r="130" spans="1:15" ht="15.75">
      <c r="A130" s="28"/>
      <c r="B130" s="29" t="s">
        <v>67</v>
      </c>
      <c r="C130" s="29"/>
      <c r="D130" s="29"/>
      <c r="E130" s="29"/>
      <c r="F130" s="29"/>
      <c r="G130" s="29"/>
      <c r="H130" s="29"/>
      <c r="I130" s="29"/>
      <c r="J130" s="29"/>
      <c r="K130" s="29"/>
      <c r="L130" s="29"/>
      <c r="M130" s="66">
        <v>0</v>
      </c>
      <c r="N130" s="29"/>
      <c r="O130" s="6"/>
    </row>
    <row r="131" spans="1:15" ht="15.75">
      <c r="A131" s="28"/>
      <c r="B131" s="29" t="s">
        <v>92</v>
      </c>
      <c r="C131" s="29"/>
      <c r="D131" s="29"/>
      <c r="E131" s="29"/>
      <c r="F131" s="29"/>
      <c r="G131" s="29"/>
      <c r="H131" s="29"/>
      <c r="I131" s="29"/>
      <c r="J131" s="29"/>
      <c r="K131" s="29"/>
      <c r="L131" s="29"/>
      <c r="M131" s="66">
        <f>M123+M126</f>
        <v>5852</v>
      </c>
      <c r="N131" s="29"/>
      <c r="O131" s="6"/>
    </row>
    <row r="132" spans="1:15" ht="15.75">
      <c r="A132" s="28"/>
      <c r="B132" s="29"/>
      <c r="C132" s="29"/>
      <c r="D132" s="29"/>
      <c r="E132" s="29"/>
      <c r="F132" s="29"/>
      <c r="G132" s="29"/>
      <c r="H132" s="29"/>
      <c r="I132" s="29"/>
      <c r="J132" s="29"/>
      <c r="K132" s="29"/>
      <c r="L132" s="29"/>
      <c r="M132" s="82"/>
      <c r="N132" s="29"/>
      <c r="O132" s="6"/>
    </row>
    <row r="133" spans="1:15" ht="15.75">
      <c r="A133" s="7"/>
      <c r="B133" s="158" t="s">
        <v>50</v>
      </c>
      <c r="C133" s="9"/>
      <c r="D133" s="9"/>
      <c r="E133" s="9"/>
      <c r="F133" s="9"/>
      <c r="G133" s="9"/>
      <c r="H133" s="9"/>
      <c r="I133" s="9"/>
      <c r="J133" s="9"/>
      <c r="K133" s="9"/>
      <c r="L133" s="9"/>
      <c r="M133" s="64"/>
      <c r="N133" s="9"/>
      <c r="O133" s="6"/>
    </row>
    <row r="134" spans="1:15" ht="15.75">
      <c r="A134" s="28"/>
      <c r="B134" s="29" t="s">
        <v>93</v>
      </c>
      <c r="C134" s="83"/>
      <c r="D134" s="83"/>
      <c r="E134" s="29"/>
      <c r="F134" s="29"/>
      <c r="G134" s="29"/>
      <c r="H134" s="29"/>
      <c r="I134" s="29"/>
      <c r="J134" s="29"/>
      <c r="K134" s="29"/>
      <c r="L134" s="29"/>
      <c r="M134" s="66">
        <v>2926</v>
      </c>
      <c r="N134" s="29"/>
      <c r="O134" s="6"/>
    </row>
    <row r="135" spans="1:15" ht="15.75">
      <c r="A135" s="28"/>
      <c r="B135" s="29" t="s">
        <v>94</v>
      </c>
      <c r="C135" s="29"/>
      <c r="D135" s="29"/>
      <c r="E135" s="29"/>
      <c r="F135" s="29"/>
      <c r="G135" s="29"/>
      <c r="H135" s="29"/>
      <c r="I135" s="29"/>
      <c r="J135" s="29"/>
      <c r="K135" s="29"/>
      <c r="L135" s="29"/>
      <c r="M135" s="66">
        <v>2926</v>
      </c>
      <c r="N135" s="29"/>
      <c r="O135" s="6"/>
    </row>
    <row r="136" spans="1:15" ht="15.75">
      <c r="A136" s="28"/>
      <c r="B136" s="29" t="s">
        <v>95</v>
      </c>
      <c r="C136" s="29"/>
      <c r="D136" s="29"/>
      <c r="E136" s="29"/>
      <c r="F136" s="29"/>
      <c r="G136" s="29"/>
      <c r="H136" s="29"/>
      <c r="I136" s="29"/>
      <c r="J136" s="29"/>
      <c r="K136" s="29"/>
      <c r="L136" s="29"/>
      <c r="M136" s="66">
        <f>-M99</f>
        <v>0</v>
      </c>
      <c r="N136" s="29"/>
      <c r="O136" s="6"/>
    </row>
    <row r="137" spans="1:15" ht="15.75">
      <c r="A137" s="28"/>
      <c r="B137" s="29" t="s">
        <v>96</v>
      </c>
      <c r="C137" s="29"/>
      <c r="D137" s="29"/>
      <c r="E137" s="29"/>
      <c r="F137" s="29"/>
      <c r="G137" s="29"/>
      <c r="H137" s="29"/>
      <c r="I137" s="29"/>
      <c r="J137" s="29"/>
      <c r="K137" s="29"/>
      <c r="L137" s="29"/>
      <c r="M137" s="66">
        <f>M134-M135-M136</f>
        <v>0</v>
      </c>
      <c r="N137" s="29"/>
      <c r="O137" s="6"/>
    </row>
    <row r="138" spans="1:15" ht="15.75">
      <c r="A138" s="28"/>
      <c r="B138" s="29"/>
      <c r="C138" s="29"/>
      <c r="D138" s="29"/>
      <c r="E138" s="29"/>
      <c r="F138" s="29"/>
      <c r="G138" s="29"/>
      <c r="H138" s="29"/>
      <c r="I138" s="29"/>
      <c r="J138" s="29"/>
      <c r="K138" s="29"/>
      <c r="L138" s="29"/>
      <c r="M138" s="84"/>
      <c r="N138" s="29"/>
      <c r="O138" s="6"/>
    </row>
    <row r="139" spans="1:15" ht="15.75">
      <c r="A139" s="7"/>
      <c r="B139" s="158" t="s">
        <v>97</v>
      </c>
      <c r="C139" s="15"/>
      <c r="D139" s="15"/>
      <c r="E139" s="9"/>
      <c r="F139" s="9"/>
      <c r="G139" s="17" t="s">
        <v>178</v>
      </c>
      <c r="H139" s="17"/>
      <c r="I139" s="17" t="s">
        <v>181</v>
      </c>
      <c r="J139" s="9"/>
      <c r="K139" s="9"/>
      <c r="L139" s="9"/>
      <c r="M139" s="85"/>
      <c r="N139" s="9"/>
      <c r="O139" s="6"/>
    </row>
    <row r="140" spans="1:15" ht="15.75">
      <c r="A140" s="7"/>
      <c r="B140" s="15"/>
      <c r="C140" s="15"/>
      <c r="D140" s="15"/>
      <c r="E140" s="9"/>
      <c r="F140" s="9"/>
      <c r="G140" s="9"/>
      <c r="H140" s="9"/>
      <c r="I140" s="9"/>
      <c r="J140" s="9"/>
      <c r="K140" s="9"/>
      <c r="L140" s="9"/>
      <c r="M140" s="85"/>
      <c r="N140" s="9"/>
      <c r="O140" s="6"/>
    </row>
    <row r="141" spans="1:15" ht="15.75">
      <c r="A141" s="28"/>
      <c r="B141" s="29" t="s">
        <v>98</v>
      </c>
      <c r="C141" s="29"/>
      <c r="D141" s="29"/>
      <c r="E141" s="29"/>
      <c r="F141" s="29"/>
      <c r="G141" s="29">
        <v>0</v>
      </c>
      <c r="H141" s="29"/>
      <c r="I141" s="29">
        <v>0</v>
      </c>
      <c r="J141" s="29"/>
      <c r="K141" s="29"/>
      <c r="L141" s="29"/>
      <c r="M141" s="66">
        <v>0</v>
      </c>
      <c r="N141" s="29"/>
      <c r="O141" s="6"/>
    </row>
    <row r="142" spans="1:15" ht="15.75">
      <c r="A142" s="28"/>
      <c r="B142" s="29" t="s">
        <v>99</v>
      </c>
      <c r="C142" s="29"/>
      <c r="D142" s="29"/>
      <c r="E142" s="29"/>
      <c r="F142" s="29"/>
      <c r="G142" s="29">
        <v>91</v>
      </c>
      <c r="H142" s="29"/>
      <c r="I142" s="29">
        <v>474</v>
      </c>
      <c r="J142" s="29"/>
      <c r="K142" s="29"/>
      <c r="L142" s="29"/>
      <c r="M142" s="66">
        <f>SUM(G142:I142)</f>
        <v>565</v>
      </c>
      <c r="N142" s="29"/>
      <c r="O142" s="6"/>
    </row>
    <row r="143" spans="1:15" ht="15.75">
      <c r="A143" s="28"/>
      <c r="B143" s="29" t="s">
        <v>100</v>
      </c>
      <c r="C143" s="29"/>
      <c r="D143" s="29"/>
      <c r="E143" s="29"/>
      <c r="F143" s="29"/>
      <c r="G143" s="29"/>
      <c r="H143" s="29"/>
      <c r="I143" s="86"/>
      <c r="J143" s="29"/>
      <c r="K143" s="29"/>
      <c r="L143" s="29"/>
      <c r="M143" s="66">
        <f>M98</f>
        <v>-565</v>
      </c>
      <c r="N143" s="29"/>
      <c r="O143" s="6"/>
    </row>
    <row r="144" spans="1:15" ht="15.75">
      <c r="A144" s="28"/>
      <c r="B144" s="29" t="s">
        <v>101</v>
      </c>
      <c r="C144" s="29"/>
      <c r="D144" s="29"/>
      <c r="E144" s="29"/>
      <c r="F144" s="29"/>
      <c r="G144" s="29"/>
      <c r="H144" s="29"/>
      <c r="I144" s="29"/>
      <c r="J144" s="29"/>
      <c r="K144" s="29"/>
      <c r="L144" s="29"/>
      <c r="M144" s="66">
        <f>M143+M142</f>
        <v>0</v>
      </c>
      <c r="N144" s="29"/>
      <c r="O144" s="6"/>
    </row>
    <row r="145" spans="1:15" ht="15.75">
      <c r="A145" s="28"/>
      <c r="B145" s="29"/>
      <c r="C145" s="29"/>
      <c r="D145" s="29"/>
      <c r="E145" s="29"/>
      <c r="F145" s="29"/>
      <c r="G145" s="29"/>
      <c r="H145" s="29"/>
      <c r="I145" s="29"/>
      <c r="J145" s="29"/>
      <c r="K145" s="29"/>
      <c r="L145" s="29"/>
      <c r="M145" s="82"/>
      <c r="N145" s="29"/>
      <c r="O145" s="6"/>
    </row>
    <row r="146" spans="1:15" ht="15.75">
      <c r="A146" s="7"/>
      <c r="B146" s="9"/>
      <c r="C146" s="9"/>
      <c r="D146" s="9"/>
      <c r="E146" s="9"/>
      <c r="F146" s="9"/>
      <c r="G146" s="9"/>
      <c r="H146" s="9"/>
      <c r="I146" s="9"/>
      <c r="J146" s="9"/>
      <c r="K146" s="9"/>
      <c r="L146" s="9"/>
      <c r="M146" s="64"/>
      <c r="N146" s="9"/>
      <c r="O146" s="6"/>
    </row>
    <row r="147" spans="1:15" ht="15.75">
      <c r="A147" s="7"/>
      <c r="B147" s="158" t="s">
        <v>102</v>
      </c>
      <c r="C147" s="15"/>
      <c r="D147" s="15"/>
      <c r="E147" s="9"/>
      <c r="F147" s="9"/>
      <c r="G147" s="9"/>
      <c r="H147" s="9"/>
      <c r="I147" s="9"/>
      <c r="J147" s="9"/>
      <c r="K147" s="9"/>
      <c r="L147" s="9"/>
      <c r="M147" s="64"/>
      <c r="N147" s="9"/>
      <c r="O147" s="6"/>
    </row>
    <row r="148" spans="1:15" ht="15.75">
      <c r="A148" s="28"/>
      <c r="B148" s="29" t="s">
        <v>103</v>
      </c>
      <c r="C148" s="87"/>
      <c r="D148" s="87"/>
      <c r="E148" s="29"/>
      <c r="F148" s="29"/>
      <c r="G148" s="29"/>
      <c r="H148" s="29"/>
      <c r="I148" s="29"/>
      <c r="J148" s="29"/>
      <c r="K148" s="29"/>
      <c r="L148" s="29"/>
      <c r="M148" s="66">
        <f>M68+M61</f>
        <v>167547</v>
      </c>
      <c r="N148" s="29"/>
      <c r="O148" s="6"/>
    </row>
    <row r="149" spans="1:15" ht="15.75">
      <c r="A149" s="28"/>
      <c r="B149" s="29" t="s">
        <v>104</v>
      </c>
      <c r="C149" s="87"/>
      <c r="D149" s="87"/>
      <c r="E149" s="29"/>
      <c r="F149" s="29"/>
      <c r="G149" s="29"/>
      <c r="H149" s="29"/>
      <c r="I149" s="29"/>
      <c r="J149" s="29"/>
      <c r="K149" s="29"/>
      <c r="L149" s="29"/>
      <c r="M149" s="66">
        <f>M72</f>
        <v>25693</v>
      </c>
      <c r="N149" s="29"/>
      <c r="O149" s="6"/>
    </row>
    <row r="150" spans="1:15" ht="15.75">
      <c r="A150" s="28"/>
      <c r="B150" s="29" t="s">
        <v>50</v>
      </c>
      <c r="C150" s="87"/>
      <c r="D150" s="87"/>
      <c r="E150" s="29"/>
      <c r="F150" s="29"/>
      <c r="G150" s="29"/>
      <c r="H150" s="29"/>
      <c r="I150" s="29"/>
      <c r="J150" s="29"/>
      <c r="K150" s="29"/>
      <c r="L150" s="29"/>
      <c r="M150" s="66">
        <f>M71</f>
        <v>2926</v>
      </c>
      <c r="N150" s="29"/>
      <c r="O150" s="6"/>
    </row>
    <row r="151" spans="1:15" ht="15.75">
      <c r="A151" s="28"/>
      <c r="B151" s="29" t="s">
        <v>105</v>
      </c>
      <c r="C151" s="87"/>
      <c r="D151" s="87"/>
      <c r="E151" s="29"/>
      <c r="F151" s="29"/>
      <c r="G151" s="29"/>
      <c r="H151" s="29"/>
      <c r="I151" s="29"/>
      <c r="J151" s="29"/>
      <c r="K151" s="29"/>
      <c r="L151" s="29"/>
      <c r="M151" s="66">
        <f>M74</f>
        <v>-95</v>
      </c>
      <c r="N151" s="29"/>
      <c r="O151" s="6"/>
    </row>
    <row r="152" spans="1:15" ht="15.75">
      <c r="A152" s="28"/>
      <c r="B152" s="29" t="s">
        <v>106</v>
      </c>
      <c r="C152" s="87"/>
      <c r="D152" s="87"/>
      <c r="E152" s="29"/>
      <c r="F152" s="29"/>
      <c r="G152" s="29"/>
      <c r="H152" s="29"/>
      <c r="I152" s="29"/>
      <c r="J152" s="29"/>
      <c r="K152" s="29"/>
      <c r="L152" s="29"/>
      <c r="M152" s="66">
        <f>M73</f>
        <v>1853</v>
      </c>
      <c r="N152" s="29"/>
      <c r="O152" s="6"/>
    </row>
    <row r="153" spans="1:15" ht="15.75">
      <c r="A153" s="28"/>
      <c r="B153" s="29" t="s">
        <v>107</v>
      </c>
      <c r="C153" s="87"/>
      <c r="D153" s="87"/>
      <c r="E153" s="29"/>
      <c r="F153" s="29"/>
      <c r="G153" s="29"/>
      <c r="H153" s="29"/>
      <c r="I153" s="29"/>
      <c r="J153" s="29"/>
      <c r="K153" s="29"/>
      <c r="L153" s="29"/>
      <c r="M153" s="66">
        <f>SUM(M148:M152)</f>
        <v>197924</v>
      </c>
      <c r="N153" s="29"/>
      <c r="O153" s="6"/>
    </row>
    <row r="154" spans="1:15" ht="15.75">
      <c r="A154" s="28"/>
      <c r="B154" s="29" t="s">
        <v>108</v>
      </c>
      <c r="C154" s="87"/>
      <c r="D154" s="87"/>
      <c r="E154" s="29"/>
      <c r="F154" s="29"/>
      <c r="G154" s="29"/>
      <c r="H154" s="29"/>
      <c r="I154" s="29"/>
      <c r="J154" s="29"/>
      <c r="K154" s="29"/>
      <c r="L154" s="29"/>
      <c r="M154" s="66">
        <f>M30</f>
        <v>194998</v>
      </c>
      <c r="N154" s="29"/>
      <c r="O154" s="6"/>
    </row>
    <row r="155" spans="1:15" ht="15.75">
      <c r="A155" s="28"/>
      <c r="B155" s="29"/>
      <c r="C155" s="29"/>
      <c r="D155" s="29"/>
      <c r="E155" s="29"/>
      <c r="F155" s="29"/>
      <c r="G155" s="29"/>
      <c r="H155" s="29"/>
      <c r="I155" s="29"/>
      <c r="J155" s="29"/>
      <c r="K155" s="29"/>
      <c r="L155" s="29"/>
      <c r="M155" s="82"/>
      <c r="N155" s="29"/>
      <c r="O155" s="6"/>
    </row>
    <row r="156" spans="1:15" ht="15.75">
      <c r="A156" s="7"/>
      <c r="B156" s="9"/>
      <c r="C156" s="9"/>
      <c r="D156" s="9"/>
      <c r="E156" s="9"/>
      <c r="F156" s="9"/>
      <c r="G156" s="9"/>
      <c r="H156" s="9"/>
      <c r="I156" s="25"/>
      <c r="J156" s="9"/>
      <c r="K156" s="25"/>
      <c r="L156" s="9"/>
      <c r="M156" s="64"/>
      <c r="N156" s="9"/>
      <c r="O156" s="6"/>
    </row>
    <row r="157" spans="1:15" ht="15.75">
      <c r="A157" s="7"/>
      <c r="B157" s="158" t="s">
        <v>109</v>
      </c>
      <c r="C157" s="144"/>
      <c r="D157" s="144"/>
      <c r="E157" s="144"/>
      <c r="F157" s="144"/>
      <c r="G157" s="144"/>
      <c r="H157" s="144"/>
      <c r="I157" s="159" t="s">
        <v>205</v>
      </c>
      <c r="J157" s="159"/>
      <c r="K157" s="159" t="s">
        <v>210</v>
      </c>
      <c r="L157" s="144"/>
      <c r="M157" s="160" t="s">
        <v>192</v>
      </c>
      <c r="N157" s="161"/>
      <c r="O157" s="6"/>
    </row>
    <row r="158" spans="1:15" ht="15.75">
      <c r="A158" s="28"/>
      <c r="B158" s="29" t="s">
        <v>110</v>
      </c>
      <c r="C158" s="29"/>
      <c r="D158" s="29"/>
      <c r="E158" s="29"/>
      <c r="F158" s="29"/>
      <c r="G158" s="29"/>
      <c r="H158" s="29"/>
      <c r="I158" s="66"/>
      <c r="J158" s="29"/>
      <c r="K158" s="53"/>
      <c r="L158" s="29"/>
      <c r="M158" s="66"/>
      <c r="N158" s="29"/>
      <c r="O158" s="6"/>
    </row>
    <row r="159" spans="1:15" ht="15.75">
      <c r="A159" s="28"/>
      <c r="B159" s="29" t="s">
        <v>111</v>
      </c>
      <c r="C159" s="29"/>
      <c r="D159" s="29"/>
      <c r="E159" s="29"/>
      <c r="F159" s="29"/>
      <c r="G159" s="29"/>
      <c r="H159" s="29"/>
      <c r="I159" s="66"/>
      <c r="J159" s="29"/>
      <c r="K159" s="29"/>
      <c r="L159" s="29"/>
      <c r="M159" s="66" t="s">
        <v>224</v>
      </c>
      <c r="N159" s="29"/>
      <c r="O159" s="6"/>
    </row>
    <row r="160" spans="1:15" ht="15.75">
      <c r="A160" s="28"/>
      <c r="B160" s="29" t="s">
        <v>112</v>
      </c>
      <c r="C160" s="29"/>
      <c r="D160" s="29"/>
      <c r="E160" s="29"/>
      <c r="F160" s="29"/>
      <c r="G160" s="29"/>
      <c r="H160" s="29"/>
      <c r="I160" s="66"/>
      <c r="J160" s="29"/>
      <c r="K160" s="29"/>
      <c r="L160" s="29"/>
      <c r="M160" s="66" t="s">
        <v>224</v>
      </c>
      <c r="N160" s="29"/>
      <c r="O160" s="6"/>
    </row>
    <row r="161" spans="1:15" ht="15.75">
      <c r="A161" s="28"/>
      <c r="B161" s="29" t="s">
        <v>113</v>
      </c>
      <c r="C161" s="29"/>
      <c r="D161" s="29"/>
      <c r="E161" s="29"/>
      <c r="F161" s="29"/>
      <c r="G161" s="29"/>
      <c r="H161" s="29"/>
      <c r="I161" s="66"/>
      <c r="J161" s="29"/>
      <c r="K161" s="66"/>
      <c r="L161" s="29"/>
      <c r="M161" s="66" t="s">
        <v>224</v>
      </c>
      <c r="N161" s="29"/>
      <c r="O161" s="6"/>
    </row>
    <row r="162" spans="1:15" ht="15.75">
      <c r="A162" s="28"/>
      <c r="B162" s="29" t="s">
        <v>114</v>
      </c>
      <c r="C162" s="29"/>
      <c r="D162" s="29"/>
      <c r="E162" s="29"/>
      <c r="F162" s="29"/>
      <c r="G162" s="29"/>
      <c r="H162" s="29"/>
      <c r="I162" s="66"/>
      <c r="J162" s="29"/>
      <c r="K162" s="53"/>
      <c r="L162" s="29"/>
      <c r="M162" s="66"/>
      <c r="N162" s="29"/>
      <c r="O162" s="6"/>
    </row>
    <row r="163" spans="1:15" ht="15.75">
      <c r="A163" s="28"/>
      <c r="B163" s="29"/>
      <c r="C163" s="29"/>
      <c r="D163" s="29"/>
      <c r="E163" s="29"/>
      <c r="F163" s="29"/>
      <c r="G163" s="29"/>
      <c r="H163" s="29"/>
      <c r="I163" s="29"/>
      <c r="J163" s="29"/>
      <c r="K163" s="29"/>
      <c r="L163" s="29"/>
      <c r="M163" s="82"/>
      <c r="N163" s="29"/>
      <c r="O163" s="6"/>
    </row>
    <row r="164" spans="1:15" ht="15.75">
      <c r="A164" s="7"/>
      <c r="B164" s="9"/>
      <c r="C164" s="9"/>
      <c r="D164" s="9"/>
      <c r="E164" s="9"/>
      <c r="F164" s="9"/>
      <c r="G164" s="9"/>
      <c r="H164" s="9"/>
      <c r="I164" s="9"/>
      <c r="J164" s="9"/>
      <c r="K164" s="9"/>
      <c r="L164" s="9"/>
      <c r="M164" s="64"/>
      <c r="N164" s="9"/>
      <c r="O164" s="6"/>
    </row>
    <row r="165" spans="1:15" ht="15.75">
      <c r="A165" s="7"/>
      <c r="B165" s="158" t="s">
        <v>115</v>
      </c>
      <c r="C165" s="15"/>
      <c r="D165" s="15"/>
      <c r="E165" s="9"/>
      <c r="F165" s="9"/>
      <c r="G165" s="9"/>
      <c r="H165" s="9"/>
      <c r="I165" s="9"/>
      <c r="J165" s="9"/>
      <c r="K165" s="9"/>
      <c r="L165" s="9"/>
      <c r="M165" s="88"/>
      <c r="N165" s="9"/>
      <c r="O165" s="6"/>
    </row>
    <row r="166" spans="1:15" ht="15.75">
      <c r="A166" s="28"/>
      <c r="B166" s="29" t="s">
        <v>116</v>
      </c>
      <c r="C166" s="29"/>
      <c r="D166" s="29"/>
      <c r="E166" s="29"/>
      <c r="F166" s="29"/>
      <c r="G166" s="29"/>
      <c r="H166" s="29"/>
      <c r="I166" s="29"/>
      <c r="J166" s="29"/>
      <c r="K166" s="29"/>
      <c r="L166" s="29"/>
      <c r="M166" s="73">
        <f>(M88+M90+M91+M93)/-M92</f>
        <v>3.3998899889989</v>
      </c>
      <c r="N166" s="29" t="s">
        <v>225</v>
      </c>
      <c r="O166" s="6"/>
    </row>
    <row r="167" spans="1:15" ht="15.75">
      <c r="A167" s="28"/>
      <c r="B167" s="29" t="s">
        <v>117</v>
      </c>
      <c r="C167" s="29"/>
      <c r="D167" s="29"/>
      <c r="E167" s="29"/>
      <c r="F167" s="29"/>
      <c r="G167" s="29"/>
      <c r="H167" s="29"/>
      <c r="I167" s="29"/>
      <c r="J167" s="29"/>
      <c r="K167" s="29"/>
      <c r="L167" s="29"/>
      <c r="M167" s="89">
        <v>2.63</v>
      </c>
      <c r="N167" s="29" t="s">
        <v>225</v>
      </c>
      <c r="O167" s="6"/>
    </row>
    <row r="168" spans="1:15" ht="15.75">
      <c r="A168" s="28"/>
      <c r="B168" s="29" t="s">
        <v>118</v>
      </c>
      <c r="C168" s="29"/>
      <c r="D168" s="29"/>
      <c r="E168" s="29"/>
      <c r="F168" s="29"/>
      <c r="G168" s="29"/>
      <c r="H168" s="29"/>
      <c r="I168" s="29"/>
      <c r="J168" s="29"/>
      <c r="K168" s="29"/>
      <c r="L168" s="29"/>
      <c r="M168" s="73">
        <f>(M88+M90+M91+M92+M93+M94)/-M95</f>
        <v>22.23469387755102</v>
      </c>
      <c r="N168" s="29" t="s">
        <v>225</v>
      </c>
      <c r="O168" s="6"/>
    </row>
    <row r="169" spans="1:15" ht="15.75">
      <c r="A169" s="28"/>
      <c r="B169" s="29" t="s">
        <v>119</v>
      </c>
      <c r="C169" s="29"/>
      <c r="D169" s="29"/>
      <c r="E169" s="29"/>
      <c r="F169" s="29"/>
      <c r="G169" s="29"/>
      <c r="H169" s="29"/>
      <c r="I169" s="29"/>
      <c r="J169" s="29"/>
      <c r="K169" s="29"/>
      <c r="L169" s="29"/>
      <c r="M169" s="90">
        <v>15.38</v>
      </c>
      <c r="N169" s="29" t="s">
        <v>225</v>
      </c>
      <c r="O169" s="6"/>
    </row>
    <row r="170" spans="1:15" ht="15.75">
      <c r="A170" s="28"/>
      <c r="B170" s="29" t="s">
        <v>120</v>
      </c>
      <c r="C170" s="29"/>
      <c r="D170" s="29"/>
      <c r="E170" s="29"/>
      <c r="F170" s="29"/>
      <c r="G170" s="29"/>
      <c r="H170" s="29"/>
      <c r="I170" s="29"/>
      <c r="J170" s="29"/>
      <c r="K170" s="29"/>
      <c r="L170" s="29"/>
      <c r="M170" s="73">
        <f>(M88+M90+M91+M92+M93+M94+M95)/-M96</f>
        <v>29.942446043165468</v>
      </c>
      <c r="N170" s="29" t="s">
        <v>225</v>
      </c>
      <c r="O170" s="6"/>
    </row>
    <row r="171" spans="1:15" ht="15.75">
      <c r="A171" s="28"/>
      <c r="B171" s="29" t="s">
        <v>121</v>
      </c>
      <c r="C171" s="29"/>
      <c r="D171" s="29"/>
      <c r="E171" s="29"/>
      <c r="F171" s="29"/>
      <c r="G171" s="29"/>
      <c r="H171" s="29"/>
      <c r="I171" s="29"/>
      <c r="J171" s="29"/>
      <c r="K171" s="29"/>
      <c r="L171" s="29"/>
      <c r="M171" s="89">
        <v>20.85</v>
      </c>
      <c r="N171" s="29" t="s">
        <v>225</v>
      </c>
      <c r="O171" s="6"/>
    </row>
    <row r="172" spans="1:15" ht="15.75">
      <c r="A172" s="28"/>
      <c r="B172" s="29"/>
      <c r="C172" s="29"/>
      <c r="D172" s="29"/>
      <c r="E172" s="29"/>
      <c r="F172" s="29"/>
      <c r="G172" s="29"/>
      <c r="H172" s="29"/>
      <c r="I172" s="29"/>
      <c r="J172" s="29"/>
      <c r="K172" s="29"/>
      <c r="L172" s="29"/>
      <c r="M172" s="29"/>
      <c r="N172" s="29"/>
      <c r="O172" s="6"/>
    </row>
    <row r="173" spans="1:15" ht="15.75">
      <c r="A173" s="7"/>
      <c r="B173" s="9"/>
      <c r="C173" s="9"/>
      <c r="D173" s="9"/>
      <c r="E173" s="9"/>
      <c r="F173" s="9"/>
      <c r="G173" s="9"/>
      <c r="H173" s="9"/>
      <c r="I173" s="9"/>
      <c r="J173" s="9"/>
      <c r="K173" s="9"/>
      <c r="L173" s="9"/>
      <c r="M173" s="9"/>
      <c r="N173" s="9"/>
      <c r="O173" s="6"/>
    </row>
    <row r="174" spans="1:15" ht="16.5" thickBot="1">
      <c r="A174" s="134"/>
      <c r="B174" s="135" t="s">
        <v>235</v>
      </c>
      <c r="C174" s="136"/>
      <c r="D174" s="136"/>
      <c r="E174" s="136"/>
      <c r="F174" s="136"/>
      <c r="G174" s="136"/>
      <c r="H174" s="136"/>
      <c r="I174" s="136"/>
      <c r="J174" s="136"/>
      <c r="K174" s="136"/>
      <c r="L174" s="136"/>
      <c r="M174" s="136"/>
      <c r="N174" s="138"/>
      <c r="O174" s="6"/>
    </row>
    <row r="175" spans="1:15" ht="15.75">
      <c r="A175" s="2"/>
      <c r="B175" s="91"/>
      <c r="C175" s="91"/>
      <c r="D175" s="91"/>
      <c r="E175" s="91"/>
      <c r="F175" s="91"/>
      <c r="G175" s="91"/>
      <c r="H175" s="91"/>
      <c r="I175" s="91"/>
      <c r="J175" s="91"/>
      <c r="K175" s="91"/>
      <c r="L175" s="91"/>
      <c r="M175" s="91"/>
      <c r="N175" s="91"/>
      <c r="O175" s="6"/>
    </row>
    <row r="176" spans="1:15" ht="15.75">
      <c r="A176" s="92"/>
      <c r="B176" s="63" t="s">
        <v>122</v>
      </c>
      <c r="C176" s="93"/>
      <c r="D176" s="93"/>
      <c r="E176" s="93" t="s">
        <v>178</v>
      </c>
      <c r="F176" s="93"/>
      <c r="G176" s="94" t="s">
        <v>181</v>
      </c>
      <c r="H176" s="94"/>
      <c r="I176" s="94"/>
      <c r="J176" s="22"/>
      <c r="K176" s="22">
        <v>37376</v>
      </c>
      <c r="L176" s="18"/>
      <c r="M176" s="18"/>
      <c r="N176" s="9"/>
      <c r="O176" s="6"/>
    </row>
    <row r="177" spans="1:15" ht="15.75">
      <c r="A177" s="95"/>
      <c r="B177" s="74" t="s">
        <v>123</v>
      </c>
      <c r="C177" s="96"/>
      <c r="D177" s="96"/>
      <c r="E177" s="97">
        <v>0.12505</v>
      </c>
      <c r="F177" s="96"/>
      <c r="G177" s="97">
        <v>0.13752</v>
      </c>
      <c r="H177" s="86"/>
      <c r="I177" s="86"/>
      <c r="J177" s="86"/>
      <c r="K177" s="97">
        <v>0.13157</v>
      </c>
      <c r="L177" s="29"/>
      <c r="M177" s="29"/>
      <c r="N177" s="29"/>
      <c r="O177" s="6"/>
    </row>
    <row r="178" spans="1:15" ht="15.75">
      <c r="A178" s="95"/>
      <c r="B178" s="74" t="s">
        <v>124</v>
      </c>
      <c r="C178" s="96"/>
      <c r="D178" s="96"/>
      <c r="E178" s="97"/>
      <c r="F178" s="96"/>
      <c r="G178" s="97"/>
      <c r="H178" s="86"/>
      <c r="I178" s="86"/>
      <c r="J178" s="86"/>
      <c r="K178" s="97">
        <v>0.0654</v>
      </c>
      <c r="L178" s="97"/>
      <c r="M178" s="29"/>
      <c r="N178" s="29"/>
      <c r="O178" s="6"/>
    </row>
    <row r="179" spans="1:15" ht="15.75">
      <c r="A179" s="95"/>
      <c r="B179" s="74" t="s">
        <v>125</v>
      </c>
      <c r="C179" s="96"/>
      <c r="D179" s="96"/>
      <c r="E179" s="96"/>
      <c r="F179" s="96"/>
      <c r="G179" s="96"/>
      <c r="H179" s="86"/>
      <c r="I179" s="86"/>
      <c r="J179" s="86"/>
      <c r="K179" s="97">
        <f>K177-K178</f>
        <v>0.06616999999999999</v>
      </c>
      <c r="L179" s="29"/>
      <c r="M179" s="29"/>
      <c r="N179" s="29"/>
      <c r="O179" s="6"/>
    </row>
    <row r="180" spans="1:15" ht="15.75">
      <c r="A180" s="95"/>
      <c r="B180" s="74" t="s">
        <v>126</v>
      </c>
      <c r="C180" s="96"/>
      <c r="D180" s="96"/>
      <c r="E180" s="98">
        <v>0.1135</v>
      </c>
      <c r="F180" s="98"/>
      <c r="G180" s="98">
        <v>0.1287</v>
      </c>
      <c r="H180" s="86"/>
      <c r="I180" s="86"/>
      <c r="J180" s="86"/>
      <c r="K180" s="97">
        <v>0.1214</v>
      </c>
      <c r="L180" s="29"/>
      <c r="M180" s="29"/>
      <c r="N180" s="29"/>
      <c r="O180" s="6"/>
    </row>
    <row r="181" spans="1:15" ht="15.75">
      <c r="A181" s="95"/>
      <c r="B181" s="74" t="s">
        <v>127</v>
      </c>
      <c r="C181" s="96"/>
      <c r="D181" s="96"/>
      <c r="E181" s="96"/>
      <c r="F181" s="96"/>
      <c r="G181" s="96"/>
      <c r="H181" s="86"/>
      <c r="I181" s="86"/>
      <c r="J181" s="86"/>
      <c r="K181" s="97">
        <f>M32</f>
        <v>0.04528406998841014</v>
      </c>
      <c r="L181" s="29"/>
      <c r="M181" s="29"/>
      <c r="N181" s="29"/>
      <c r="O181" s="6"/>
    </row>
    <row r="182" spans="1:15" ht="15.75">
      <c r="A182" s="95"/>
      <c r="B182" s="74" t="s">
        <v>128</v>
      </c>
      <c r="C182" s="96"/>
      <c r="D182" s="96"/>
      <c r="E182" s="96"/>
      <c r="F182" s="96"/>
      <c r="G182" s="96"/>
      <c r="H182" s="86"/>
      <c r="I182" s="86"/>
      <c r="J182" s="86"/>
      <c r="K182" s="97">
        <f>K180-K181</f>
        <v>0.07611593001158985</v>
      </c>
      <c r="L182" s="29"/>
      <c r="M182" s="29"/>
      <c r="N182" s="29"/>
      <c r="O182" s="6"/>
    </row>
    <row r="183" spans="1:15" ht="15.75">
      <c r="A183" s="95"/>
      <c r="B183" s="74" t="s">
        <v>129</v>
      </c>
      <c r="C183" s="96"/>
      <c r="D183" s="96"/>
      <c r="E183" s="96"/>
      <c r="F183" s="96"/>
      <c r="G183" s="96"/>
      <c r="H183" s="86"/>
      <c r="I183" s="86"/>
      <c r="J183" s="86"/>
      <c r="K183" s="97" t="s">
        <v>211</v>
      </c>
      <c r="L183" s="29"/>
      <c r="M183" s="29"/>
      <c r="N183" s="29"/>
      <c r="O183" s="6"/>
    </row>
    <row r="184" spans="1:15" ht="15.75">
      <c r="A184" s="95"/>
      <c r="B184" s="74" t="s">
        <v>130</v>
      </c>
      <c r="C184" s="96"/>
      <c r="D184" s="96"/>
      <c r="E184" s="96"/>
      <c r="F184" s="96"/>
      <c r="G184" s="96"/>
      <c r="H184" s="86"/>
      <c r="I184" s="86"/>
      <c r="J184" s="86"/>
      <c r="K184" s="97" t="s">
        <v>212</v>
      </c>
      <c r="L184" s="29"/>
      <c r="M184" s="29"/>
      <c r="N184" s="29"/>
      <c r="O184" s="6"/>
    </row>
    <row r="185" spans="1:15" ht="15.75">
      <c r="A185" s="95"/>
      <c r="B185" s="74" t="s">
        <v>131</v>
      </c>
      <c r="C185" s="96"/>
      <c r="D185" s="96"/>
      <c r="E185" s="99">
        <v>9.94</v>
      </c>
      <c r="F185" s="96"/>
      <c r="G185" s="99">
        <v>3.91</v>
      </c>
      <c r="H185" s="86"/>
      <c r="I185" s="86"/>
      <c r="J185" s="86"/>
      <c r="K185" s="100">
        <v>6.791</v>
      </c>
      <c r="L185" s="29"/>
      <c r="M185" s="29"/>
      <c r="N185" s="29"/>
      <c r="O185" s="6"/>
    </row>
    <row r="186" spans="1:15" ht="15.75">
      <c r="A186" s="95"/>
      <c r="B186" s="74" t="s">
        <v>132</v>
      </c>
      <c r="C186" s="96"/>
      <c r="D186" s="96"/>
      <c r="E186" s="101">
        <v>10.36</v>
      </c>
      <c r="F186" s="99"/>
      <c r="G186" s="99">
        <v>3.13</v>
      </c>
      <c r="H186" s="86"/>
      <c r="I186" s="86"/>
      <c r="J186" s="86"/>
      <c r="K186" s="100">
        <v>6.595</v>
      </c>
      <c r="L186" s="29"/>
      <c r="M186" s="29"/>
      <c r="N186" s="29"/>
      <c r="O186" s="6"/>
    </row>
    <row r="187" spans="1:15" ht="15.75">
      <c r="A187" s="95"/>
      <c r="B187" s="74" t="s">
        <v>231</v>
      </c>
      <c r="C187" s="96"/>
      <c r="D187" s="96"/>
      <c r="E187" s="101"/>
      <c r="F187" s="99"/>
      <c r="G187" s="99"/>
      <c r="H187" s="86"/>
      <c r="I187" s="86"/>
      <c r="J187" s="86"/>
      <c r="K187" s="97">
        <v>0.0564</v>
      </c>
      <c r="L187" s="29"/>
      <c r="M187" s="29"/>
      <c r="N187" s="29"/>
      <c r="O187" s="6"/>
    </row>
    <row r="188" spans="1:15" ht="15.75">
      <c r="A188" s="95"/>
      <c r="B188" s="74" t="s">
        <v>232</v>
      </c>
      <c r="C188" s="96"/>
      <c r="D188" s="96"/>
      <c r="E188" s="101"/>
      <c r="F188" s="99"/>
      <c r="G188" s="99"/>
      <c r="H188" s="86"/>
      <c r="I188" s="86"/>
      <c r="J188" s="86"/>
      <c r="K188" s="97">
        <v>0.1838</v>
      </c>
      <c r="L188" s="29"/>
      <c r="M188" s="29"/>
      <c r="N188" s="29"/>
      <c r="O188" s="6"/>
    </row>
    <row r="189" spans="1:15" ht="15.75">
      <c r="A189" s="95"/>
      <c r="B189" s="74" t="s">
        <v>233</v>
      </c>
      <c r="C189" s="96"/>
      <c r="D189" s="96"/>
      <c r="E189" s="101"/>
      <c r="F189" s="99"/>
      <c r="G189" s="99"/>
      <c r="H189" s="86"/>
      <c r="I189" s="86"/>
      <c r="J189" s="86"/>
      <c r="K189" s="97">
        <v>0.1052</v>
      </c>
      <c r="L189" s="29"/>
      <c r="M189" s="29"/>
      <c r="N189" s="29"/>
      <c r="O189" s="6"/>
    </row>
    <row r="190" spans="1:15" ht="15.75">
      <c r="A190" s="95"/>
      <c r="B190" s="74" t="s">
        <v>234</v>
      </c>
      <c r="C190" s="96"/>
      <c r="D190" s="96"/>
      <c r="E190" s="101"/>
      <c r="F190" s="99"/>
      <c r="G190" s="99"/>
      <c r="H190" s="86"/>
      <c r="I190" s="86"/>
      <c r="J190" s="86"/>
      <c r="K190" s="97">
        <v>0.2937</v>
      </c>
      <c r="L190" s="29"/>
      <c r="M190" s="29"/>
      <c r="N190" s="29"/>
      <c r="O190" s="6"/>
    </row>
    <row r="191" spans="1:15" ht="15.75">
      <c r="A191" s="95"/>
      <c r="B191" s="74"/>
      <c r="C191" s="74"/>
      <c r="D191" s="74"/>
      <c r="E191" s="74"/>
      <c r="F191" s="74"/>
      <c r="G191" s="74"/>
      <c r="H191" s="29"/>
      <c r="I191" s="29"/>
      <c r="J191" s="37"/>
      <c r="K191" s="102"/>
      <c r="L191" s="29"/>
      <c r="M191" s="103"/>
      <c r="N191" s="29"/>
      <c r="O191" s="6"/>
    </row>
    <row r="192" spans="1:15" ht="15.75">
      <c r="A192" s="104"/>
      <c r="B192" s="17" t="s">
        <v>134</v>
      </c>
      <c r="C192" s="20"/>
      <c r="D192" s="20"/>
      <c r="E192" s="105"/>
      <c r="F192" s="20"/>
      <c r="G192" s="105"/>
      <c r="H192" s="20"/>
      <c r="I192" s="105"/>
      <c r="J192" s="20" t="s">
        <v>206</v>
      </c>
      <c r="K192" s="105" t="s">
        <v>213</v>
      </c>
      <c r="L192" s="18"/>
      <c r="M192" s="18"/>
      <c r="N192" s="9"/>
      <c r="O192" s="6"/>
    </row>
    <row r="193" spans="1:15" ht="15.75">
      <c r="A193" s="106"/>
      <c r="B193" s="74" t="s">
        <v>135</v>
      </c>
      <c r="C193" s="67"/>
      <c r="D193" s="67"/>
      <c r="E193" s="67"/>
      <c r="F193" s="67"/>
      <c r="G193" s="29"/>
      <c r="H193" s="29"/>
      <c r="I193" s="29"/>
      <c r="J193" s="29">
        <v>70</v>
      </c>
      <c r="K193" s="66">
        <v>379</v>
      </c>
      <c r="L193" s="66"/>
      <c r="M193" s="103"/>
      <c r="N193" s="107"/>
      <c r="O193" s="6"/>
    </row>
    <row r="194" spans="1:15" ht="15.75">
      <c r="A194" s="106"/>
      <c r="B194" s="74" t="s">
        <v>136</v>
      </c>
      <c r="C194" s="67"/>
      <c r="D194" s="67"/>
      <c r="E194" s="67"/>
      <c r="F194" s="67"/>
      <c r="G194" s="29"/>
      <c r="H194" s="29"/>
      <c r="I194" s="29"/>
      <c r="J194" s="29">
        <v>13</v>
      </c>
      <c r="K194" s="66">
        <v>78</v>
      </c>
      <c r="L194" s="66"/>
      <c r="M194" s="103"/>
      <c r="N194" s="107"/>
      <c r="O194" s="6"/>
    </row>
    <row r="195" spans="1:15" ht="15.75">
      <c r="A195" s="106"/>
      <c r="B195" s="74"/>
      <c r="C195" s="67"/>
      <c r="D195" s="67"/>
      <c r="E195" s="67"/>
      <c r="F195" s="67"/>
      <c r="G195" s="29"/>
      <c r="H195" s="29"/>
      <c r="I195" s="29"/>
      <c r="J195" s="29"/>
      <c r="K195" s="66"/>
      <c r="L195" s="66"/>
      <c r="M195" s="103"/>
      <c r="N195" s="107"/>
      <c r="O195" s="6"/>
    </row>
    <row r="196" spans="1:15" ht="15.75">
      <c r="A196" s="106"/>
      <c r="B196" s="74" t="s">
        <v>137</v>
      </c>
      <c r="C196" s="67"/>
      <c r="D196" s="67"/>
      <c r="E196" s="67"/>
      <c r="F196" s="67"/>
      <c r="G196" s="29"/>
      <c r="H196" s="29"/>
      <c r="I196" s="29"/>
      <c r="J196" s="29">
        <v>76</v>
      </c>
      <c r="K196" s="66">
        <v>1006</v>
      </c>
      <c r="L196" s="66"/>
      <c r="M196" s="103"/>
      <c r="N196" s="107"/>
      <c r="O196" s="6"/>
    </row>
    <row r="197" spans="1:15" ht="15.75">
      <c r="A197" s="106"/>
      <c r="B197" s="74" t="s">
        <v>138</v>
      </c>
      <c r="C197" s="67"/>
      <c r="D197" s="67"/>
      <c r="E197" s="67"/>
      <c r="F197" s="67"/>
      <c r="G197" s="29"/>
      <c r="H197" s="29"/>
      <c r="I197" s="29"/>
      <c r="J197" s="29">
        <v>4</v>
      </c>
      <c r="K197" s="66">
        <v>73</v>
      </c>
      <c r="L197" s="66"/>
      <c r="M197" s="103"/>
      <c r="N197" s="107"/>
      <c r="O197" s="6"/>
    </row>
    <row r="198" spans="1:15" ht="15.75">
      <c r="A198" s="106"/>
      <c r="B198" s="74"/>
      <c r="C198" s="67"/>
      <c r="D198" s="67"/>
      <c r="E198" s="67"/>
      <c r="F198" s="67"/>
      <c r="G198" s="29"/>
      <c r="H198" s="29"/>
      <c r="I198" s="29"/>
      <c r="J198" s="29"/>
      <c r="K198" s="66"/>
      <c r="L198" s="66"/>
      <c r="M198" s="103"/>
      <c r="N198" s="107"/>
      <c r="O198" s="6"/>
    </row>
    <row r="199" spans="1:15" ht="15.75">
      <c r="A199" s="106"/>
      <c r="B199" s="162" t="s">
        <v>139</v>
      </c>
      <c r="C199" s="67"/>
      <c r="D199" s="67"/>
      <c r="E199" s="67"/>
      <c r="F199" s="67"/>
      <c r="G199" s="29"/>
      <c r="H199" s="29"/>
      <c r="I199" s="29"/>
      <c r="J199" s="29"/>
      <c r="K199" s="73" t="s">
        <v>214</v>
      </c>
      <c r="L199" s="29"/>
      <c r="M199" s="103"/>
      <c r="N199" s="107"/>
      <c r="O199" s="6"/>
    </row>
    <row r="200" spans="1:15" ht="15.75">
      <c r="A200" s="106"/>
      <c r="B200" s="162" t="s">
        <v>140</v>
      </c>
      <c r="C200" s="67"/>
      <c r="D200" s="67"/>
      <c r="E200" s="67"/>
      <c r="F200" s="67"/>
      <c r="G200" s="29"/>
      <c r="H200" s="29"/>
      <c r="I200" s="29"/>
      <c r="J200" s="29"/>
      <c r="K200" s="66">
        <f>-I72</f>
        <v>21113</v>
      </c>
      <c r="L200" s="29"/>
      <c r="M200" s="103"/>
      <c r="N200" s="107"/>
      <c r="O200" s="6"/>
    </row>
    <row r="201" spans="1:15" ht="15.75">
      <c r="A201" s="108"/>
      <c r="B201" s="162" t="s">
        <v>141</v>
      </c>
      <c r="C201" s="67"/>
      <c r="D201" s="67"/>
      <c r="E201" s="74"/>
      <c r="F201" s="74"/>
      <c r="G201" s="74"/>
      <c r="H201" s="29"/>
      <c r="I201" s="29"/>
      <c r="J201" s="29"/>
      <c r="K201" s="73"/>
      <c r="L201" s="29"/>
      <c r="M201" s="103"/>
      <c r="N201" s="109"/>
      <c r="O201" s="6"/>
    </row>
    <row r="202" spans="1:15" ht="15.75">
      <c r="A202" s="108"/>
      <c r="B202" s="74" t="s">
        <v>142</v>
      </c>
      <c r="C202" s="67"/>
      <c r="D202" s="67"/>
      <c r="E202" s="74"/>
      <c r="F202" s="74"/>
      <c r="G202" s="74"/>
      <c r="H202" s="29"/>
      <c r="I202" s="29"/>
      <c r="J202" s="29"/>
      <c r="K202" s="89">
        <f>I142</f>
        <v>474</v>
      </c>
      <c r="L202" s="29"/>
      <c r="M202" s="103"/>
      <c r="N202" s="109"/>
      <c r="O202" s="6"/>
    </row>
    <row r="203" spans="1:15" ht="15.75">
      <c r="A203" s="108"/>
      <c r="B203" s="74" t="s">
        <v>143</v>
      </c>
      <c r="C203" s="67"/>
      <c r="D203" s="67"/>
      <c r="E203" s="74"/>
      <c r="F203" s="74"/>
      <c r="G203" s="74"/>
      <c r="H203" s="29"/>
      <c r="I203" s="29"/>
      <c r="J203" s="29"/>
      <c r="K203" s="89">
        <f>'Jan 2002'!K203+I142</f>
        <v>1592</v>
      </c>
      <c r="L203" s="29"/>
      <c r="M203" s="103"/>
      <c r="N203" s="109"/>
      <c r="O203" s="6"/>
    </row>
    <row r="204" spans="1:15" ht="15.75">
      <c r="A204" s="108"/>
      <c r="B204" s="74" t="s">
        <v>144</v>
      </c>
      <c r="C204" s="67"/>
      <c r="D204" s="67"/>
      <c r="E204" s="74"/>
      <c r="F204" s="74"/>
      <c r="G204" s="74"/>
      <c r="H204" s="29"/>
      <c r="I204" s="29"/>
      <c r="J204" s="29"/>
      <c r="K204" s="89">
        <f>39+13+24+37</f>
        <v>113</v>
      </c>
      <c r="L204" s="29"/>
      <c r="M204" s="103"/>
      <c r="N204" s="109"/>
      <c r="O204" s="6"/>
    </row>
    <row r="205" spans="1:15" ht="15.75">
      <c r="A205" s="108"/>
      <c r="B205" s="74"/>
      <c r="C205" s="67"/>
      <c r="D205" s="67"/>
      <c r="E205" s="74"/>
      <c r="F205" s="74"/>
      <c r="G205" s="74"/>
      <c r="H205" s="29"/>
      <c r="I205" s="29"/>
      <c r="J205" s="29"/>
      <c r="K205" s="89"/>
      <c r="L205" s="29"/>
      <c r="M205" s="103"/>
      <c r="N205" s="109"/>
      <c r="O205" s="6"/>
    </row>
    <row r="206" spans="1:15" ht="15.75">
      <c r="A206" s="106"/>
      <c r="B206" s="74" t="s">
        <v>145</v>
      </c>
      <c r="C206" s="67"/>
      <c r="D206" s="67"/>
      <c r="E206" s="67"/>
      <c r="F206" s="67"/>
      <c r="G206" s="67"/>
      <c r="H206" s="29"/>
      <c r="I206" s="29"/>
      <c r="J206" s="29"/>
      <c r="K206" s="66">
        <f>G142</f>
        <v>91</v>
      </c>
      <c r="L206" s="29"/>
      <c r="M206" s="103"/>
      <c r="N206" s="109"/>
      <c r="O206" s="6"/>
    </row>
    <row r="207" spans="1:15" ht="15.75">
      <c r="A207" s="106"/>
      <c r="B207" s="74" t="s">
        <v>146</v>
      </c>
      <c r="C207" s="67"/>
      <c r="D207" s="67"/>
      <c r="E207" s="67"/>
      <c r="F207" s="67"/>
      <c r="G207" s="67"/>
      <c r="H207" s="29"/>
      <c r="I207" s="29"/>
      <c r="J207" s="29"/>
      <c r="K207" s="66">
        <f>'Jan 2002'!K207+G142</f>
        <v>261</v>
      </c>
      <c r="L207" s="29"/>
      <c r="M207" s="103"/>
      <c r="N207" s="109"/>
      <c r="O207" s="6"/>
    </row>
    <row r="208" spans="1:15" ht="15.75">
      <c r="A208" s="106"/>
      <c r="B208" s="74" t="s">
        <v>144</v>
      </c>
      <c r="C208" s="67"/>
      <c r="D208" s="67"/>
      <c r="E208" s="67"/>
      <c r="F208" s="67"/>
      <c r="G208" s="67"/>
      <c r="H208" s="29"/>
      <c r="I208" s="29"/>
      <c r="J208" s="29"/>
      <c r="K208" s="66"/>
      <c r="L208" s="29"/>
      <c r="M208" s="103"/>
      <c r="N208" s="109"/>
      <c r="O208" s="6"/>
    </row>
    <row r="209" spans="1:15" ht="15.75">
      <c r="A209" s="106"/>
      <c r="B209" s="74"/>
      <c r="C209" s="67"/>
      <c r="D209" s="67"/>
      <c r="E209" s="67"/>
      <c r="F209" s="67"/>
      <c r="G209" s="67"/>
      <c r="H209" s="29"/>
      <c r="I209" s="29"/>
      <c r="J209" s="29"/>
      <c r="K209" s="66"/>
      <c r="L209" s="29"/>
      <c r="M209" s="103"/>
      <c r="N209" s="109"/>
      <c r="O209" s="6"/>
    </row>
    <row r="210" spans="1:15" ht="15.75">
      <c r="A210" s="108"/>
      <c r="B210" s="162" t="s">
        <v>147</v>
      </c>
      <c r="C210" s="67"/>
      <c r="D210" s="67"/>
      <c r="E210" s="74"/>
      <c r="F210" s="74"/>
      <c r="G210" s="74"/>
      <c r="H210" s="29"/>
      <c r="I210" s="29"/>
      <c r="J210" s="29"/>
      <c r="K210" s="110"/>
      <c r="L210" s="29"/>
      <c r="M210" s="103"/>
      <c r="N210" s="109"/>
      <c r="O210" s="6"/>
    </row>
    <row r="211" spans="1:15" ht="15.75">
      <c r="A211" s="108"/>
      <c r="B211" s="74" t="s">
        <v>148</v>
      </c>
      <c r="C211" s="67"/>
      <c r="D211" s="67"/>
      <c r="E211" s="74"/>
      <c r="F211" s="74"/>
      <c r="G211" s="74"/>
      <c r="H211" s="29"/>
      <c r="I211" s="29"/>
      <c r="J211" s="29"/>
      <c r="K211" s="110">
        <v>0</v>
      </c>
      <c r="L211" s="29"/>
      <c r="M211" s="103"/>
      <c r="N211" s="109"/>
      <c r="O211" s="6"/>
    </row>
    <row r="212" spans="1:15" ht="15.75">
      <c r="A212" s="106"/>
      <c r="B212" s="74" t="s">
        <v>149</v>
      </c>
      <c r="C212" s="67"/>
      <c r="D212" s="67"/>
      <c r="E212" s="111"/>
      <c r="F212" s="111"/>
      <c r="G212" s="112"/>
      <c r="H212" s="29"/>
      <c r="I212" s="29"/>
      <c r="J212" s="29"/>
      <c r="K212" s="110">
        <v>0</v>
      </c>
      <c r="L212" s="29"/>
      <c r="M212" s="103"/>
      <c r="N212" s="109"/>
      <c r="O212" s="6"/>
    </row>
    <row r="213" spans="1:15" ht="15.75">
      <c r="A213" s="106"/>
      <c r="B213" s="74" t="s">
        <v>150</v>
      </c>
      <c r="C213" s="67"/>
      <c r="D213" s="67"/>
      <c r="E213" s="111"/>
      <c r="F213" s="111"/>
      <c r="G213" s="112"/>
      <c r="H213" s="29"/>
      <c r="I213" s="29"/>
      <c r="J213" s="29"/>
      <c r="K213" s="110">
        <v>0</v>
      </c>
      <c r="L213" s="29"/>
      <c r="M213" s="103"/>
      <c r="N213" s="109"/>
      <c r="O213" s="6"/>
    </row>
    <row r="214" spans="1:15" ht="15.75">
      <c r="A214" s="106"/>
      <c r="B214" s="74" t="s">
        <v>151</v>
      </c>
      <c r="C214" s="67"/>
      <c r="D214" s="67"/>
      <c r="E214" s="113"/>
      <c r="F214" s="111"/>
      <c r="G214" s="112"/>
      <c r="H214" s="29"/>
      <c r="I214" s="29"/>
      <c r="J214" s="29"/>
      <c r="K214" s="110">
        <v>0</v>
      </c>
      <c r="L214" s="29"/>
      <c r="M214" s="103"/>
      <c r="N214" s="109"/>
      <c r="O214" s="6"/>
    </row>
    <row r="215" spans="1:15" ht="15.75">
      <c r="A215" s="106"/>
      <c r="B215" s="74"/>
      <c r="C215" s="67"/>
      <c r="D215" s="67"/>
      <c r="E215" s="113"/>
      <c r="F215" s="111"/>
      <c r="G215" s="112"/>
      <c r="H215" s="29"/>
      <c r="I215" s="37"/>
      <c r="J215" s="37"/>
      <c r="K215" s="114"/>
      <c r="L215" s="37"/>
      <c r="M215" s="103"/>
      <c r="N215" s="109"/>
      <c r="O215" s="6"/>
    </row>
    <row r="216" spans="1:15" ht="15.75">
      <c r="A216" s="106"/>
      <c r="B216" s="162" t="s">
        <v>152</v>
      </c>
      <c r="C216" s="67"/>
      <c r="D216" s="67"/>
      <c r="E216" s="113"/>
      <c r="F216" s="111"/>
      <c r="G216" s="112"/>
      <c r="H216" s="29"/>
      <c r="I216" s="37"/>
      <c r="J216" s="37"/>
      <c r="K216" s="114"/>
      <c r="L216" s="37"/>
      <c r="M216" s="103"/>
      <c r="N216" s="109"/>
      <c r="O216" s="6"/>
    </row>
    <row r="217" spans="1:15" ht="15.75">
      <c r="A217" s="106"/>
      <c r="B217" s="74" t="s">
        <v>153</v>
      </c>
      <c r="C217" s="67"/>
      <c r="D217" s="67"/>
      <c r="E217" s="113"/>
      <c r="F217" s="111"/>
      <c r="G217" s="112"/>
      <c r="H217" s="29"/>
      <c r="I217" s="37"/>
      <c r="J217" s="37"/>
      <c r="K217" s="115">
        <v>58</v>
      </c>
      <c r="L217" s="37"/>
      <c r="M217" s="103"/>
      <c r="N217" s="109"/>
      <c r="O217" s="6"/>
    </row>
    <row r="218" spans="1:15" ht="15.75">
      <c r="A218" s="106"/>
      <c r="B218" s="74" t="s">
        <v>149</v>
      </c>
      <c r="C218" s="67"/>
      <c r="D218" s="67"/>
      <c r="E218" s="113"/>
      <c r="F218" s="111"/>
      <c r="G218" s="112"/>
      <c r="H218" s="29"/>
      <c r="I218" s="37"/>
      <c r="J218" s="37"/>
      <c r="K218" s="115">
        <v>3.65</v>
      </c>
      <c r="L218" s="37"/>
      <c r="M218" s="103"/>
      <c r="N218" s="109"/>
      <c r="O218" s="6"/>
    </row>
    <row r="219" spans="1:15" ht="15.75">
      <c r="A219" s="106"/>
      <c r="B219" s="74" t="s">
        <v>154</v>
      </c>
      <c r="C219" s="67"/>
      <c r="D219" s="67"/>
      <c r="E219" s="113"/>
      <c r="F219" s="111"/>
      <c r="G219" s="112"/>
      <c r="H219" s="29"/>
      <c r="I219" s="37"/>
      <c r="J219" s="37"/>
      <c r="K219" s="115">
        <v>51</v>
      </c>
      <c r="L219" s="37"/>
      <c r="M219" s="103"/>
      <c r="N219" s="109"/>
      <c r="O219" s="6"/>
    </row>
    <row r="220" spans="1:15" ht="15.75">
      <c r="A220" s="106"/>
      <c r="B220" s="74"/>
      <c r="C220" s="67"/>
      <c r="D220" s="67"/>
      <c r="E220" s="113"/>
      <c r="F220" s="111"/>
      <c r="G220" s="112"/>
      <c r="H220" s="29"/>
      <c r="I220" s="37"/>
      <c r="J220" s="37"/>
      <c r="K220" s="114"/>
      <c r="L220" s="37"/>
      <c r="M220" s="103"/>
      <c r="N220" s="109"/>
      <c r="O220" s="6"/>
    </row>
    <row r="221" spans="1:15" ht="15.75">
      <c r="A221" s="28"/>
      <c r="B221" s="32" t="s">
        <v>155</v>
      </c>
      <c r="C221" s="119"/>
      <c r="D221" s="119"/>
      <c r="E221" s="120"/>
      <c r="F221" s="119"/>
      <c r="G221" s="120"/>
      <c r="H221" s="119"/>
      <c r="I221" s="120" t="s">
        <v>206</v>
      </c>
      <c r="J221" s="119" t="s">
        <v>208</v>
      </c>
      <c r="K221" s="120" t="s">
        <v>215</v>
      </c>
      <c r="L221" s="119" t="s">
        <v>208</v>
      </c>
      <c r="M221" s="121"/>
      <c r="N221" s="109"/>
      <c r="O221" s="6"/>
    </row>
    <row r="222" spans="1:15" ht="15.75">
      <c r="A222" s="28"/>
      <c r="B222" s="67" t="s">
        <v>156</v>
      </c>
      <c r="C222" s="116"/>
      <c r="D222" s="116"/>
      <c r="E222" s="67"/>
      <c r="F222" s="116"/>
      <c r="G222" s="29"/>
      <c r="H222" s="116"/>
      <c r="I222" s="67">
        <v>6661</v>
      </c>
      <c r="J222" s="116">
        <f>I222/I226</f>
        <v>0.956215905828309</v>
      </c>
      <c r="K222" s="66">
        <v>76389</v>
      </c>
      <c r="L222" s="117">
        <f>K222/K226</f>
        <v>0.952006480558325</v>
      </c>
      <c r="M222" s="103"/>
      <c r="N222" s="109"/>
      <c r="O222" s="6"/>
    </row>
    <row r="223" spans="1:15" ht="15.75">
      <c r="A223" s="28"/>
      <c r="B223" s="67" t="s">
        <v>157</v>
      </c>
      <c r="C223" s="116"/>
      <c r="D223" s="116"/>
      <c r="E223" s="67"/>
      <c r="F223" s="116"/>
      <c r="G223" s="29"/>
      <c r="H223" s="118"/>
      <c r="I223" s="67">
        <v>133</v>
      </c>
      <c r="J223" s="116">
        <f>I223/I226</f>
        <v>0.019092736146999714</v>
      </c>
      <c r="K223" s="66">
        <v>1797</v>
      </c>
      <c r="L223" s="117">
        <f>K223/K226</f>
        <v>0.02239531405782652</v>
      </c>
      <c r="M223" s="103"/>
      <c r="N223" s="109"/>
      <c r="O223" s="6"/>
    </row>
    <row r="224" spans="1:15" ht="15.75">
      <c r="A224" s="28"/>
      <c r="B224" s="67" t="s">
        <v>158</v>
      </c>
      <c r="C224" s="116"/>
      <c r="D224" s="116"/>
      <c r="E224" s="67"/>
      <c r="F224" s="116"/>
      <c r="G224" s="29"/>
      <c r="H224" s="118"/>
      <c r="I224" s="67">
        <v>55</v>
      </c>
      <c r="J224" s="116">
        <f>I224/I226</f>
        <v>0.007895492391616422</v>
      </c>
      <c r="K224" s="66">
        <v>693</v>
      </c>
      <c r="L224" s="117">
        <f>K224/K226</f>
        <v>0.008636590229312064</v>
      </c>
      <c r="M224" s="103"/>
      <c r="N224" s="109"/>
      <c r="O224" s="6"/>
    </row>
    <row r="225" spans="1:15" ht="15.75">
      <c r="A225" s="28"/>
      <c r="B225" s="67" t="s">
        <v>159</v>
      </c>
      <c r="C225" s="116"/>
      <c r="D225" s="116"/>
      <c r="E225" s="67"/>
      <c r="F225" s="116"/>
      <c r="G225" s="29"/>
      <c r="H225" s="118"/>
      <c r="I225" s="67">
        <f>39+25+12+22+19</f>
        <v>117</v>
      </c>
      <c r="J225" s="116">
        <f>I225/I226</f>
        <v>0.016795865633074936</v>
      </c>
      <c r="K225" s="66">
        <f>502+286+117+273+183</f>
        <v>1361</v>
      </c>
      <c r="L225" s="117">
        <f>K225/K226</f>
        <v>0.01696161515453639</v>
      </c>
      <c r="M225" s="103"/>
      <c r="N225" s="109"/>
      <c r="O225" s="6"/>
    </row>
    <row r="226" spans="1:15" ht="15.75">
      <c r="A226" s="28"/>
      <c r="B226" s="29"/>
      <c r="C226" s="29"/>
      <c r="D226" s="29"/>
      <c r="E226" s="37"/>
      <c r="F226" s="29"/>
      <c r="G226" s="29"/>
      <c r="H226" s="29"/>
      <c r="I226" s="65">
        <f>SUM(I222:I225)</f>
        <v>6966</v>
      </c>
      <c r="J226" s="117">
        <f>SUM(J222:J225)</f>
        <v>1</v>
      </c>
      <c r="K226" s="66">
        <f>SUM(K222:K225)</f>
        <v>80240</v>
      </c>
      <c r="L226" s="117">
        <f>SUM(L222:L225)</f>
        <v>1</v>
      </c>
      <c r="M226" s="103"/>
      <c r="N226" s="29"/>
      <c r="O226" s="6"/>
    </row>
    <row r="227" spans="1:15" ht="15.75">
      <c r="A227" s="28"/>
      <c r="B227" s="29"/>
      <c r="C227" s="29"/>
      <c r="D227" s="29"/>
      <c r="E227" s="37"/>
      <c r="F227" s="29"/>
      <c r="G227" s="29"/>
      <c r="H227" s="29"/>
      <c r="I227" s="65"/>
      <c r="J227" s="117"/>
      <c r="K227" s="66"/>
      <c r="L227" s="117"/>
      <c r="M227" s="103"/>
      <c r="N227" s="29"/>
      <c r="O227" s="6"/>
    </row>
    <row r="228" spans="1:15" ht="15.75">
      <c r="A228" s="28"/>
      <c r="B228" s="32" t="s">
        <v>160</v>
      </c>
      <c r="C228" s="119"/>
      <c r="D228" s="119"/>
      <c r="E228" s="120"/>
      <c r="F228" s="119"/>
      <c r="G228" s="120"/>
      <c r="H228" s="119"/>
      <c r="I228" s="120" t="s">
        <v>206</v>
      </c>
      <c r="J228" s="119" t="s">
        <v>208</v>
      </c>
      <c r="K228" s="120" t="s">
        <v>215</v>
      </c>
      <c r="L228" s="119" t="s">
        <v>208</v>
      </c>
      <c r="M228" s="121"/>
      <c r="N228" s="109"/>
      <c r="O228" s="6"/>
    </row>
    <row r="229" spans="1:15" ht="15.75">
      <c r="A229" s="28"/>
      <c r="B229" s="67" t="s">
        <v>156</v>
      </c>
      <c r="C229" s="116"/>
      <c r="D229" s="116"/>
      <c r="E229" s="67"/>
      <c r="F229" s="116"/>
      <c r="G229" s="29"/>
      <c r="H229" s="116"/>
      <c r="I229" s="67">
        <v>15926</v>
      </c>
      <c r="J229" s="116">
        <f>I229/I233</f>
        <v>0.9832685065135519</v>
      </c>
      <c r="K229" s="66">
        <v>85737</v>
      </c>
      <c r="L229" s="116">
        <f>K229/K233</f>
        <v>0.9820174785526934</v>
      </c>
      <c r="M229" s="103"/>
      <c r="N229" s="109"/>
      <c r="O229" s="6"/>
    </row>
    <row r="230" spans="1:15" ht="15.75">
      <c r="A230" s="28"/>
      <c r="B230" s="67" t="s">
        <v>157</v>
      </c>
      <c r="C230" s="116"/>
      <c r="D230" s="116"/>
      <c r="E230" s="67"/>
      <c r="F230" s="116"/>
      <c r="G230" s="29"/>
      <c r="H230" s="118"/>
      <c r="I230" s="67">
        <v>119</v>
      </c>
      <c r="J230" s="116">
        <f>I230/I233</f>
        <v>0.0073470395752299805</v>
      </c>
      <c r="K230" s="66">
        <v>653</v>
      </c>
      <c r="L230" s="116">
        <f>K230/K233</f>
        <v>0.007479354461841547</v>
      </c>
      <c r="M230" s="103"/>
      <c r="N230" s="109"/>
      <c r="O230" s="6"/>
    </row>
    <row r="231" spans="1:15" ht="15.75">
      <c r="A231" s="28"/>
      <c r="B231" s="67" t="s">
        <v>158</v>
      </c>
      <c r="C231" s="116"/>
      <c r="D231" s="116"/>
      <c r="E231" s="67"/>
      <c r="F231" s="116"/>
      <c r="G231" s="29"/>
      <c r="H231" s="118"/>
      <c r="I231" s="67">
        <v>53</v>
      </c>
      <c r="J231" s="116">
        <f>I231/I233</f>
        <v>0.003272210903253689</v>
      </c>
      <c r="K231" s="66">
        <v>299</v>
      </c>
      <c r="L231" s="116">
        <f>K231/K233</f>
        <v>0.003424696759709989</v>
      </c>
      <c r="M231" s="103"/>
      <c r="N231" s="109"/>
      <c r="O231" s="6"/>
    </row>
    <row r="232" spans="1:15" ht="15.75">
      <c r="A232" s="28"/>
      <c r="B232" s="67" t="s">
        <v>159</v>
      </c>
      <c r="C232" s="116"/>
      <c r="D232" s="116"/>
      <c r="E232" s="67"/>
      <c r="F232" s="116"/>
      <c r="G232" s="29"/>
      <c r="H232" s="118"/>
      <c r="I232" s="67">
        <f>27+17+19+24+12</f>
        <v>99</v>
      </c>
      <c r="J232" s="116">
        <f>I232/I233</f>
        <v>0.006112243007964438</v>
      </c>
      <c r="K232" s="66">
        <f>167+81+132+169+69</f>
        <v>618</v>
      </c>
      <c r="L232" s="116">
        <f>K232/K233</f>
        <v>0.007078470225755094</v>
      </c>
      <c r="M232" s="103"/>
      <c r="N232" s="109"/>
      <c r="O232" s="6"/>
    </row>
    <row r="233" spans="1:15" ht="15.75">
      <c r="A233" s="28"/>
      <c r="B233" s="29"/>
      <c r="C233" s="29"/>
      <c r="D233" s="29"/>
      <c r="E233" s="37"/>
      <c r="F233" s="29"/>
      <c r="G233" s="29"/>
      <c r="H233" s="29"/>
      <c r="I233" s="65">
        <f>SUM(I229:I232)</f>
        <v>16197</v>
      </c>
      <c r="J233" s="117">
        <f>SUM(J229:J232)</f>
        <v>1</v>
      </c>
      <c r="K233" s="66">
        <f>SUM(K229:K232)</f>
        <v>87307</v>
      </c>
      <c r="L233" s="117">
        <f>SUM(L229:L232)</f>
        <v>1</v>
      </c>
      <c r="M233" s="103"/>
      <c r="N233" s="29"/>
      <c r="O233" s="6"/>
    </row>
    <row r="234" spans="1:15" ht="15.75">
      <c r="A234" s="28"/>
      <c r="B234" s="29"/>
      <c r="C234" s="29"/>
      <c r="D234" s="29"/>
      <c r="E234" s="37"/>
      <c r="F234" s="29"/>
      <c r="G234" s="29"/>
      <c r="H234" s="29"/>
      <c r="I234" s="65"/>
      <c r="J234" s="117"/>
      <c r="K234" s="66"/>
      <c r="L234" s="117"/>
      <c r="M234" s="103"/>
      <c r="N234" s="29"/>
      <c r="O234" s="6"/>
    </row>
    <row r="235" spans="1:15" ht="15.75">
      <c r="A235" s="28"/>
      <c r="B235" s="29" t="s">
        <v>161</v>
      </c>
      <c r="C235" s="29"/>
      <c r="D235" s="29"/>
      <c r="E235" s="37"/>
      <c r="F235" s="29"/>
      <c r="G235" s="29"/>
      <c r="H235" s="29"/>
      <c r="I235" s="65"/>
      <c r="J235" s="117"/>
      <c r="K235" s="66">
        <f>K226+K233</f>
        <v>167547</v>
      </c>
      <c r="L235" s="117"/>
      <c r="M235" s="103"/>
      <c r="N235" s="29"/>
      <c r="O235" s="6"/>
    </row>
    <row r="236" spans="1:15" ht="15.75">
      <c r="A236" s="28"/>
      <c r="B236" s="29"/>
      <c r="C236" s="29"/>
      <c r="D236" s="29"/>
      <c r="E236" s="37"/>
      <c r="F236" s="29"/>
      <c r="G236" s="29"/>
      <c r="H236" s="29"/>
      <c r="I236" s="65"/>
      <c r="J236" s="117"/>
      <c r="K236" s="66"/>
      <c r="L236" s="117"/>
      <c r="M236" s="103"/>
      <c r="N236" s="29"/>
      <c r="O236" s="6"/>
    </row>
    <row r="237" spans="1:15" ht="15.75">
      <c r="A237" s="28"/>
      <c r="B237" s="29"/>
      <c r="C237" s="29"/>
      <c r="D237" s="29"/>
      <c r="E237" s="37"/>
      <c r="F237" s="29"/>
      <c r="G237" s="29"/>
      <c r="H237" s="29"/>
      <c r="I237" s="65"/>
      <c r="J237" s="117"/>
      <c r="K237" s="66"/>
      <c r="L237" s="117"/>
      <c r="M237" s="103"/>
      <c r="N237" s="29"/>
      <c r="O237" s="6"/>
    </row>
    <row r="238" spans="1:15" ht="15.75">
      <c r="A238" s="122"/>
      <c r="B238" s="17" t="s">
        <v>162</v>
      </c>
      <c r="C238" s="123"/>
      <c r="D238" s="123"/>
      <c r="E238" s="20" t="s">
        <v>182</v>
      </c>
      <c r="F238" s="18"/>
      <c r="G238" s="17" t="s">
        <v>194</v>
      </c>
      <c r="H238" s="124"/>
      <c r="I238" s="124"/>
      <c r="J238" s="124"/>
      <c r="K238" s="125"/>
      <c r="L238" s="14"/>
      <c r="M238" s="14"/>
      <c r="N238" s="14"/>
      <c r="O238" s="6"/>
    </row>
    <row r="239" spans="1:15" ht="15.75">
      <c r="A239" s="122"/>
      <c r="B239" s="15" t="s">
        <v>163</v>
      </c>
      <c r="C239" s="126"/>
      <c r="D239" s="126"/>
      <c r="E239" s="127" t="s">
        <v>183</v>
      </c>
      <c r="F239" s="15"/>
      <c r="G239" s="15" t="s">
        <v>195</v>
      </c>
      <c r="H239" s="126"/>
      <c r="I239" s="126"/>
      <c r="J239" s="14"/>
      <c r="K239" s="14"/>
      <c r="L239" s="14"/>
      <c r="M239" s="14"/>
      <c r="N239" s="14"/>
      <c r="O239" s="6"/>
    </row>
    <row r="240" spans="1:15" ht="15.75">
      <c r="A240" s="122"/>
      <c r="B240" s="15" t="s">
        <v>164</v>
      </c>
      <c r="C240" s="126"/>
      <c r="D240" s="126"/>
      <c r="E240" s="127" t="s">
        <v>184</v>
      </c>
      <c r="F240" s="15"/>
      <c r="G240" s="15" t="s">
        <v>196</v>
      </c>
      <c r="H240" s="126"/>
      <c r="I240" s="126"/>
      <c r="J240" s="14"/>
      <c r="K240" s="14"/>
      <c r="L240" s="14"/>
      <c r="M240" s="14"/>
      <c r="N240" s="14"/>
      <c r="O240" s="6"/>
    </row>
    <row r="241" spans="1:15" ht="15.75">
      <c r="A241" s="122"/>
      <c r="B241" s="15"/>
      <c r="C241" s="126"/>
      <c r="D241" s="126"/>
      <c r="E241" s="127"/>
      <c r="F241" s="15"/>
      <c r="G241" s="15"/>
      <c r="H241" s="126"/>
      <c r="I241" s="126"/>
      <c r="J241" s="14"/>
      <c r="K241" s="14"/>
      <c r="L241" s="14"/>
      <c r="M241" s="14"/>
      <c r="N241" s="14"/>
      <c r="O241" s="6"/>
    </row>
    <row r="242" spans="1:15" ht="15.75">
      <c r="A242" s="122"/>
      <c r="B242" s="15"/>
      <c r="C242" s="126"/>
      <c r="D242" s="126"/>
      <c r="E242" s="127"/>
      <c r="F242" s="15"/>
      <c r="G242" s="15"/>
      <c r="H242" s="126"/>
      <c r="I242" s="126"/>
      <c r="J242" s="14"/>
      <c r="K242" s="14"/>
      <c r="L242" s="14"/>
      <c r="M242" s="14"/>
      <c r="N242" s="14"/>
      <c r="O242" s="6"/>
    </row>
    <row r="243" spans="1:15" ht="15.75">
      <c r="A243" s="122"/>
      <c r="B243" s="15" t="s">
        <v>235</v>
      </c>
      <c r="C243" s="126"/>
      <c r="D243" s="126"/>
      <c r="E243" s="127"/>
      <c r="F243" s="15"/>
      <c r="G243" s="15"/>
      <c r="H243" s="126"/>
      <c r="I243" s="126"/>
      <c r="J243" s="14"/>
      <c r="K243" s="14"/>
      <c r="L243" s="14"/>
      <c r="M243" s="14"/>
      <c r="N243" s="14"/>
      <c r="O243" s="6"/>
    </row>
    <row r="244" spans="1:14" ht="15">
      <c r="A244" s="130"/>
      <c r="B244" s="130"/>
      <c r="C244" s="130"/>
      <c r="D244" s="130"/>
      <c r="E244" s="130"/>
      <c r="F244" s="130"/>
      <c r="G244" s="130"/>
      <c r="H244" s="130"/>
      <c r="I244" s="130"/>
      <c r="J244" s="130"/>
      <c r="K244" s="130"/>
      <c r="L244" s="130"/>
      <c r="M244" s="130"/>
      <c r="N244" s="130"/>
    </row>
  </sheetData>
  <printOptions horizontalCentered="1" verticalCentered="1"/>
  <pageMargins left="0.2362204724409449" right="0.4330708661417323" top="0.2362204724409449" bottom="0.31496062992125984" header="0" footer="0"/>
  <pageSetup horizontalDpi="600" verticalDpi="600" orientation="landscape" paperSize="9" scale="48" r:id="rId2"/>
  <rowBreaks count="3" manualBreakCount="3">
    <brk id="53" max="14" man="1"/>
    <brk id="116" max="14" man="1"/>
    <brk id="174" max="14" man="1"/>
  </rowBreaks>
  <drawing r:id="rId1"/>
</worksheet>
</file>

<file path=xl/worksheets/sheet7.xml><?xml version="1.0" encoding="utf-8"?>
<worksheet xmlns="http://schemas.openxmlformats.org/spreadsheetml/2006/main" xmlns:r="http://schemas.openxmlformats.org/officeDocument/2006/relationships">
  <dimension ref="A1:P24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49.6640625" style="1" customWidth="1"/>
    <col min="3" max="3" width="12.6640625" style="1" customWidth="1"/>
    <col min="4" max="4" width="18.6640625" style="1" customWidth="1"/>
    <col min="5" max="5" width="14.6640625" style="1" customWidth="1"/>
    <col min="6" max="6" width="4.6640625" style="1" customWidth="1"/>
    <col min="7" max="7" width="14.6640625" style="1" customWidth="1"/>
    <col min="8" max="8" width="4.6640625" style="1" customWidth="1"/>
    <col min="9" max="9" width="19.6640625" style="1" customWidth="1"/>
    <col min="10" max="10" width="6.6640625" style="1" customWidth="1"/>
    <col min="11" max="11" width="11.6640625" style="1" customWidth="1"/>
    <col min="12" max="12" width="8.6640625" style="1" customWidth="1"/>
    <col min="13" max="13" width="14.6640625" style="1" customWidth="1"/>
    <col min="14" max="14" width="2.6640625" style="1" customWidth="1"/>
    <col min="15" max="16384" width="9.6640625" style="1" customWidth="1"/>
  </cols>
  <sheetData>
    <row r="1" spans="1:15" ht="20.25">
      <c r="A1" s="2"/>
      <c r="B1" s="3" t="s">
        <v>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44" t="s">
        <v>1</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2</v>
      </c>
      <c r="C5" s="13"/>
      <c r="D5" s="13"/>
      <c r="E5" s="9"/>
      <c r="F5" s="9"/>
      <c r="G5" s="9"/>
      <c r="H5" s="9"/>
      <c r="I5" s="9"/>
      <c r="J5" s="9"/>
      <c r="K5" s="9"/>
      <c r="L5" s="9"/>
      <c r="M5" s="9"/>
      <c r="N5" s="9"/>
      <c r="O5" s="6"/>
    </row>
    <row r="6" spans="1:15" ht="15.75">
      <c r="A6" s="7"/>
      <c r="B6" s="12" t="s">
        <v>3</v>
      </c>
      <c r="C6" s="13"/>
      <c r="D6" s="13"/>
      <c r="E6" s="9"/>
      <c r="F6" s="9"/>
      <c r="G6" s="9"/>
      <c r="H6" s="9"/>
      <c r="I6" s="9"/>
      <c r="J6" s="9"/>
      <c r="K6" s="9"/>
      <c r="L6" s="9"/>
      <c r="M6" s="9"/>
      <c r="N6" s="9"/>
      <c r="O6" s="6"/>
    </row>
    <row r="7" spans="1:15" ht="15.75">
      <c r="A7" s="7"/>
      <c r="B7" s="12" t="s">
        <v>4</v>
      </c>
      <c r="C7" s="13"/>
      <c r="D7" s="13"/>
      <c r="E7" s="9"/>
      <c r="F7" s="9"/>
      <c r="G7" s="9"/>
      <c r="H7" s="9"/>
      <c r="I7" s="9"/>
      <c r="J7" s="9"/>
      <c r="K7" s="9"/>
      <c r="L7" s="9"/>
      <c r="M7" s="9"/>
      <c r="N7" s="9"/>
      <c r="O7" s="6"/>
    </row>
    <row r="8" spans="1:15" ht="15.75">
      <c r="A8" s="7"/>
      <c r="B8" s="14"/>
      <c r="C8" s="13"/>
      <c r="D8" s="13"/>
      <c r="E8" s="9"/>
      <c r="F8" s="9"/>
      <c r="G8" s="9"/>
      <c r="H8" s="9"/>
      <c r="I8" s="9"/>
      <c r="J8" s="9"/>
      <c r="K8" s="9"/>
      <c r="L8" s="9"/>
      <c r="M8" s="9"/>
      <c r="N8" s="9"/>
      <c r="O8" s="6"/>
    </row>
    <row r="9" spans="1:15" ht="15.75">
      <c r="A9" s="7"/>
      <c r="B9" s="13"/>
      <c r="C9" s="13"/>
      <c r="D9" s="13"/>
      <c r="E9" s="15"/>
      <c r="F9" s="15"/>
      <c r="G9" s="9"/>
      <c r="H9" s="9"/>
      <c r="I9" s="9"/>
      <c r="J9" s="9"/>
      <c r="K9" s="9"/>
      <c r="L9" s="9"/>
      <c r="M9" s="9"/>
      <c r="N9" s="9"/>
      <c r="O9" s="6"/>
    </row>
    <row r="10" spans="1:15" ht="15.75">
      <c r="A10" s="7"/>
      <c r="B10" s="15" t="s">
        <v>5</v>
      </c>
      <c r="C10" s="15"/>
      <c r="D10" s="15"/>
      <c r="E10" s="9"/>
      <c r="F10" s="9"/>
      <c r="G10" s="9"/>
      <c r="H10" s="9"/>
      <c r="I10" s="9"/>
      <c r="J10" s="9"/>
      <c r="K10" s="9"/>
      <c r="L10" s="9"/>
      <c r="M10" s="9"/>
      <c r="N10" s="9"/>
      <c r="O10" s="6"/>
    </row>
    <row r="11" spans="1:15" ht="15.75">
      <c r="A11" s="7"/>
      <c r="B11" s="15"/>
      <c r="C11" s="15"/>
      <c r="D11" s="15"/>
      <c r="E11" s="9"/>
      <c r="F11" s="9"/>
      <c r="G11" s="9"/>
      <c r="H11" s="9"/>
      <c r="I11" s="9"/>
      <c r="J11" s="9"/>
      <c r="K11" s="9"/>
      <c r="L11" s="9"/>
      <c r="M11" s="9"/>
      <c r="N11" s="9"/>
      <c r="O11" s="6"/>
    </row>
    <row r="12" spans="1:15" ht="15.75">
      <c r="A12" s="2"/>
      <c r="B12" s="5"/>
      <c r="C12" s="5"/>
      <c r="D12" s="5"/>
      <c r="E12" s="5"/>
      <c r="F12" s="5"/>
      <c r="G12" s="5"/>
      <c r="H12" s="5"/>
      <c r="I12" s="5"/>
      <c r="J12" s="5"/>
      <c r="K12" s="5"/>
      <c r="L12" s="5"/>
      <c r="M12" s="5"/>
      <c r="N12" s="5"/>
      <c r="O12" s="6"/>
    </row>
    <row r="13" spans="1:15" ht="15.75">
      <c r="A13" s="7"/>
      <c r="B13" s="17" t="s">
        <v>6</v>
      </c>
      <c r="C13" s="17"/>
      <c r="D13" s="17"/>
      <c r="E13" s="18"/>
      <c r="F13" s="18"/>
      <c r="G13" s="18"/>
      <c r="H13" s="18"/>
      <c r="I13" s="18"/>
      <c r="J13" s="18"/>
      <c r="K13" s="18"/>
      <c r="L13" s="18"/>
      <c r="M13" s="19" t="s">
        <v>217</v>
      </c>
      <c r="N13" s="9"/>
      <c r="O13" s="6"/>
    </row>
    <row r="14" spans="1:15" ht="15.75">
      <c r="A14" s="7"/>
      <c r="B14" s="17" t="s">
        <v>7</v>
      </c>
      <c r="C14" s="17"/>
      <c r="D14" s="18"/>
      <c r="E14" s="18"/>
      <c r="F14" s="18"/>
      <c r="G14" s="18"/>
      <c r="H14" s="20" t="s">
        <v>197</v>
      </c>
      <c r="I14" s="21">
        <v>0.52</v>
      </c>
      <c r="J14" s="20" t="s">
        <v>207</v>
      </c>
      <c r="K14" s="21">
        <v>0.48</v>
      </c>
      <c r="L14" s="18"/>
      <c r="M14" s="19"/>
      <c r="N14" s="9"/>
      <c r="O14" s="6"/>
    </row>
    <row r="15" spans="1:15" ht="15.75">
      <c r="A15" s="7"/>
      <c r="B15" s="17" t="s">
        <v>8</v>
      </c>
      <c r="C15" s="17"/>
      <c r="D15" s="18"/>
      <c r="E15" s="18"/>
      <c r="F15" s="18"/>
      <c r="G15" s="18"/>
      <c r="H15" s="20" t="s">
        <v>197</v>
      </c>
      <c r="I15" s="21">
        <f>K233/K235</f>
        <v>0.5358079011421082</v>
      </c>
      <c r="J15" s="20" t="s">
        <v>207</v>
      </c>
      <c r="K15" s="21">
        <f>K226/K235</f>
        <v>0.46419209885789176</v>
      </c>
      <c r="L15" s="18"/>
      <c r="M15" s="19"/>
      <c r="N15" s="9"/>
      <c r="O15" s="6"/>
    </row>
    <row r="16" spans="1:15" ht="15.75">
      <c r="A16" s="7"/>
      <c r="B16" s="17" t="s">
        <v>9</v>
      </c>
      <c r="C16" s="17"/>
      <c r="D16" s="17"/>
      <c r="E16" s="18"/>
      <c r="F16" s="18"/>
      <c r="G16" s="18"/>
      <c r="H16" s="18"/>
      <c r="I16" s="18"/>
      <c r="J16" s="18"/>
      <c r="K16" s="18"/>
      <c r="L16" s="18"/>
      <c r="M16" s="20" t="s">
        <v>218</v>
      </c>
      <c r="N16" s="9"/>
      <c r="O16" s="6"/>
    </row>
    <row r="17" spans="1:15" ht="15.75">
      <c r="A17" s="7"/>
      <c r="B17" s="17" t="s">
        <v>10</v>
      </c>
      <c r="C17" s="17"/>
      <c r="D17" s="17"/>
      <c r="E17" s="18"/>
      <c r="F17" s="18"/>
      <c r="G17" s="18"/>
      <c r="H17" s="18"/>
      <c r="I17" s="18"/>
      <c r="J17" s="18"/>
      <c r="K17" s="18"/>
      <c r="L17" s="18"/>
      <c r="M17" s="22">
        <v>37484</v>
      </c>
      <c r="N17" s="9"/>
      <c r="O17" s="6"/>
    </row>
    <row r="18" spans="1:15" ht="15.75">
      <c r="A18" s="7"/>
      <c r="B18" s="9"/>
      <c r="C18" s="9"/>
      <c r="D18" s="9"/>
      <c r="E18" s="9"/>
      <c r="F18" s="9"/>
      <c r="G18" s="9"/>
      <c r="H18" s="9"/>
      <c r="I18" s="9"/>
      <c r="J18" s="9"/>
      <c r="K18" s="9"/>
      <c r="L18" s="9"/>
      <c r="M18" s="23"/>
      <c r="N18" s="9"/>
      <c r="O18" s="6"/>
    </row>
    <row r="19" spans="1:15" ht="15.75">
      <c r="A19" s="7"/>
      <c r="B19" s="24" t="s">
        <v>11</v>
      </c>
      <c r="C19" s="9"/>
      <c r="D19" s="9"/>
      <c r="E19" s="9"/>
      <c r="F19" s="9"/>
      <c r="G19" s="9"/>
      <c r="H19" s="9"/>
      <c r="I19" s="9"/>
      <c r="J19" s="9"/>
      <c r="K19" s="23"/>
      <c r="L19" s="9"/>
      <c r="M19" s="14"/>
      <c r="N19" s="9"/>
      <c r="O19" s="6"/>
    </row>
    <row r="20" spans="1:15" ht="15.75">
      <c r="A20" s="7"/>
      <c r="B20" s="9"/>
      <c r="C20" s="9"/>
      <c r="D20" s="9"/>
      <c r="E20" s="9"/>
      <c r="F20" s="9"/>
      <c r="G20" s="9"/>
      <c r="H20" s="9"/>
      <c r="I20" s="9"/>
      <c r="J20" s="9"/>
      <c r="K20" s="9"/>
      <c r="L20" s="9"/>
      <c r="M20" s="25"/>
      <c r="N20" s="9"/>
      <c r="O20" s="6"/>
    </row>
    <row r="21" spans="1:15" ht="31.5">
      <c r="A21" s="7"/>
      <c r="B21" s="9"/>
      <c r="C21" s="145" t="s">
        <v>165</v>
      </c>
      <c r="D21" s="168" t="s">
        <v>168</v>
      </c>
      <c r="E21" s="168" t="s">
        <v>179</v>
      </c>
      <c r="F21" s="168"/>
      <c r="G21" s="168" t="s">
        <v>185</v>
      </c>
      <c r="H21" s="168"/>
      <c r="I21" s="168" t="s">
        <v>198</v>
      </c>
      <c r="J21" s="168"/>
      <c r="K21" s="173"/>
      <c r="L21" s="14"/>
      <c r="M21" s="14"/>
      <c r="N21" s="9"/>
      <c r="O21" s="6"/>
    </row>
    <row r="22" spans="1:15" ht="15.75">
      <c r="A22" s="28"/>
      <c r="B22" s="29" t="s">
        <v>12</v>
      </c>
      <c r="C22" s="146" t="s">
        <v>166</v>
      </c>
      <c r="D22" s="30" t="s">
        <v>169</v>
      </c>
      <c r="E22" s="30"/>
      <c r="F22" s="30"/>
      <c r="G22" s="30" t="s">
        <v>186</v>
      </c>
      <c r="H22" s="30"/>
      <c r="I22" s="30" t="s">
        <v>199</v>
      </c>
      <c r="J22" s="30"/>
      <c r="K22" s="30"/>
      <c r="L22" s="31"/>
      <c r="M22" s="31"/>
      <c r="N22" s="29"/>
      <c r="O22" s="6"/>
    </row>
    <row r="23" spans="1:15" ht="15.75">
      <c r="A23" s="28"/>
      <c r="B23" s="29" t="s">
        <v>13</v>
      </c>
      <c r="C23" s="32"/>
      <c r="D23" s="33" t="s">
        <v>170</v>
      </c>
      <c r="E23" s="34"/>
      <c r="F23" s="33"/>
      <c r="G23" s="33" t="s">
        <v>187</v>
      </c>
      <c r="H23" s="33"/>
      <c r="I23" s="33" t="s">
        <v>200</v>
      </c>
      <c r="J23" s="35"/>
      <c r="K23" s="35"/>
      <c r="L23" s="36"/>
      <c r="M23" s="31"/>
      <c r="N23" s="29"/>
      <c r="O23" s="6"/>
    </row>
    <row r="24" spans="1:15" ht="15.75">
      <c r="A24" s="28"/>
      <c r="B24" s="32" t="s">
        <v>14</v>
      </c>
      <c r="C24" s="32"/>
      <c r="D24" s="35" t="s">
        <v>169</v>
      </c>
      <c r="E24" s="35"/>
      <c r="F24" s="35"/>
      <c r="G24" s="35" t="s">
        <v>186</v>
      </c>
      <c r="H24" s="35"/>
      <c r="I24" s="35" t="s">
        <v>199</v>
      </c>
      <c r="J24" s="35"/>
      <c r="K24" s="35"/>
      <c r="L24" s="36"/>
      <c r="M24" s="31"/>
      <c r="N24" s="29"/>
      <c r="O24" s="6"/>
    </row>
    <row r="25" spans="1:15" ht="15.75">
      <c r="A25" s="28"/>
      <c r="B25" s="32" t="s">
        <v>15</v>
      </c>
      <c r="C25" s="32"/>
      <c r="D25" s="35" t="s">
        <v>170</v>
      </c>
      <c r="E25" s="35"/>
      <c r="F25" s="35"/>
      <c r="G25" s="35" t="s">
        <v>187</v>
      </c>
      <c r="H25" s="35"/>
      <c r="I25" s="35" t="s">
        <v>200</v>
      </c>
      <c r="J25" s="35"/>
      <c r="K25" s="35"/>
      <c r="L25" s="36"/>
      <c r="M25" s="31"/>
      <c r="N25" s="29"/>
      <c r="O25" s="6"/>
    </row>
    <row r="26" spans="1:15" ht="15.75">
      <c r="A26" s="28"/>
      <c r="B26" s="29" t="s">
        <v>16</v>
      </c>
      <c r="C26" s="29"/>
      <c r="D26" s="37" t="s">
        <v>171</v>
      </c>
      <c r="E26" s="37"/>
      <c r="F26" s="30"/>
      <c r="G26" s="37" t="s">
        <v>188</v>
      </c>
      <c r="H26" s="30"/>
      <c r="I26" s="37" t="s">
        <v>201</v>
      </c>
      <c r="J26" s="30"/>
      <c r="K26" s="37"/>
      <c r="L26" s="31"/>
      <c r="M26" s="31"/>
      <c r="N26" s="29"/>
      <c r="O26" s="6"/>
    </row>
    <row r="27" spans="1:15" ht="15.75">
      <c r="A27" s="28"/>
      <c r="B27" s="29"/>
      <c r="C27" s="29"/>
      <c r="D27" s="29"/>
      <c r="E27" s="29"/>
      <c r="F27" s="30"/>
      <c r="G27" s="30"/>
      <c r="H27" s="30"/>
      <c r="I27" s="30"/>
      <c r="J27" s="30"/>
      <c r="K27" s="30"/>
      <c r="L27" s="31"/>
      <c r="M27" s="31"/>
      <c r="N27" s="29"/>
      <c r="O27" s="6"/>
    </row>
    <row r="28" spans="1:15" ht="15.75">
      <c r="A28" s="28"/>
      <c r="B28" s="29" t="s">
        <v>17</v>
      </c>
      <c r="C28" s="29"/>
      <c r="D28" s="38" t="s">
        <v>172</v>
      </c>
      <c r="E28" s="38">
        <v>168668</v>
      </c>
      <c r="F28" s="39"/>
      <c r="G28" s="38">
        <v>16580</v>
      </c>
      <c r="H28" s="38"/>
      <c r="I28" s="38">
        <v>9750</v>
      </c>
      <c r="J28" s="38"/>
      <c r="K28" s="38"/>
      <c r="L28" s="39" t="s">
        <v>172</v>
      </c>
      <c r="M28" s="38">
        <f>K28+I28+G28+E28</f>
        <v>194998</v>
      </c>
      <c r="N28" s="40"/>
      <c r="O28" s="6"/>
    </row>
    <row r="29" spans="1:15" ht="15.75">
      <c r="A29" s="28"/>
      <c r="B29" s="29" t="s">
        <v>18</v>
      </c>
      <c r="C29" s="41">
        <f>M28/M29</f>
        <v>1</v>
      </c>
      <c r="D29" s="38" t="s">
        <v>173</v>
      </c>
      <c r="E29" s="38">
        <v>168668</v>
      </c>
      <c r="F29" s="39"/>
      <c r="G29" s="38">
        <v>16580</v>
      </c>
      <c r="H29" s="38"/>
      <c r="I29" s="38">
        <v>9750</v>
      </c>
      <c r="J29" s="42"/>
      <c r="K29" s="38"/>
      <c r="L29" s="39" t="s">
        <v>172</v>
      </c>
      <c r="M29" s="38">
        <f>K29+I29+G29+E29</f>
        <v>194998</v>
      </c>
      <c r="N29" s="40"/>
      <c r="O29" s="6"/>
    </row>
    <row r="30" spans="1:15" ht="15.75">
      <c r="A30" s="43"/>
      <c r="B30" s="32" t="s">
        <v>19</v>
      </c>
      <c r="C30" s="44">
        <f>M29/M30</f>
        <v>1</v>
      </c>
      <c r="D30" s="45" t="s">
        <v>172</v>
      </c>
      <c r="E30" s="45">
        <v>168668</v>
      </c>
      <c r="F30" s="46"/>
      <c r="G30" s="45">
        <v>16580</v>
      </c>
      <c r="H30" s="45"/>
      <c r="I30" s="45">
        <v>9750</v>
      </c>
      <c r="J30" s="45"/>
      <c r="K30" s="45"/>
      <c r="L30" s="46" t="s">
        <v>172</v>
      </c>
      <c r="M30" s="45">
        <f>K30+I30+G30+E30</f>
        <v>194998</v>
      </c>
      <c r="N30" s="29"/>
      <c r="O30" s="6"/>
    </row>
    <row r="31" spans="1:15" ht="15.75">
      <c r="A31" s="28"/>
      <c r="B31" s="29" t="s">
        <v>20</v>
      </c>
      <c r="C31" s="47"/>
      <c r="D31" s="37" t="s">
        <v>174</v>
      </c>
      <c r="E31" s="37"/>
      <c r="F31" s="29"/>
      <c r="G31" s="37" t="s">
        <v>189</v>
      </c>
      <c r="H31" s="37"/>
      <c r="I31" s="37" t="s">
        <v>202</v>
      </c>
      <c r="J31" s="37"/>
      <c r="K31" s="37"/>
      <c r="L31" s="31"/>
      <c r="M31" s="31"/>
      <c r="N31" s="29"/>
      <c r="O31" s="6"/>
    </row>
    <row r="32" spans="1:15" ht="15.75">
      <c r="A32" s="28"/>
      <c r="B32" s="29" t="s">
        <v>21</v>
      </c>
      <c r="C32" s="47"/>
      <c r="D32" s="48" t="s">
        <v>175</v>
      </c>
      <c r="E32" s="49">
        <v>0.0453</v>
      </c>
      <c r="F32" s="50"/>
      <c r="G32" s="48">
        <v>0.04955</v>
      </c>
      <c r="H32" s="48"/>
      <c r="I32" s="48">
        <v>0.05955</v>
      </c>
      <c r="J32" s="51"/>
      <c r="K32" s="48"/>
      <c r="L32" s="31"/>
      <c r="M32" s="51">
        <f>SUMPRODUCT(E32:K32,E30:K30)/M30</f>
        <v>0.04637386998841013</v>
      </c>
      <c r="N32" s="29"/>
      <c r="O32" s="6"/>
    </row>
    <row r="33" spans="1:15" ht="15.75">
      <c r="A33" s="28"/>
      <c r="B33" s="29" t="s">
        <v>22</v>
      </c>
      <c r="C33" s="47"/>
      <c r="D33" s="48">
        <v>0.0377</v>
      </c>
      <c r="E33" s="48"/>
      <c r="F33" s="50"/>
      <c r="G33" s="48" t="s">
        <v>175</v>
      </c>
      <c r="H33" s="48"/>
      <c r="I33" s="48" t="s">
        <v>175</v>
      </c>
      <c r="J33" s="51"/>
      <c r="K33" s="48"/>
      <c r="L33" s="31"/>
      <c r="M33" s="51"/>
      <c r="N33" s="29"/>
      <c r="O33" s="6"/>
    </row>
    <row r="34" spans="1:15" ht="15.75">
      <c r="A34" s="28"/>
      <c r="B34" s="29" t="s">
        <v>23</v>
      </c>
      <c r="C34" s="47"/>
      <c r="D34" s="48" t="s">
        <v>175</v>
      </c>
      <c r="E34" s="48"/>
      <c r="F34" s="48"/>
      <c r="G34" s="48">
        <v>0.0484602</v>
      </c>
      <c r="H34" s="48"/>
      <c r="I34" s="48">
        <v>0.0584602</v>
      </c>
      <c r="J34" s="51"/>
      <c r="K34" s="48"/>
      <c r="L34" s="31"/>
      <c r="M34" s="31"/>
      <c r="N34" s="29"/>
      <c r="O34" s="6"/>
    </row>
    <row r="35" spans="1:15" ht="15.75">
      <c r="A35" s="28"/>
      <c r="B35" s="29" t="s">
        <v>24</v>
      </c>
      <c r="C35" s="47"/>
      <c r="D35" s="48">
        <v>0.03698</v>
      </c>
      <c r="E35" s="48"/>
      <c r="F35" s="50"/>
      <c r="G35" s="48" t="s">
        <v>175</v>
      </c>
      <c r="H35" s="48"/>
      <c r="I35" s="48" t="s">
        <v>175</v>
      </c>
      <c r="J35" s="51"/>
      <c r="K35" s="48"/>
      <c r="L35" s="31"/>
      <c r="M35" s="31"/>
      <c r="N35" s="29"/>
      <c r="O35" s="6"/>
    </row>
    <row r="36" spans="1:15" ht="15.75">
      <c r="A36" s="28"/>
      <c r="B36" s="29" t="s">
        <v>25</v>
      </c>
      <c r="C36" s="47"/>
      <c r="D36" s="37" t="s">
        <v>176</v>
      </c>
      <c r="E36" s="37"/>
      <c r="F36" s="29"/>
      <c r="G36" s="37" t="s">
        <v>176</v>
      </c>
      <c r="H36" s="37"/>
      <c r="I36" s="37" t="s">
        <v>176</v>
      </c>
      <c r="J36" s="37"/>
      <c r="K36" s="37"/>
      <c r="L36" s="31"/>
      <c r="M36" s="31"/>
      <c r="N36" s="29"/>
      <c r="O36" s="6"/>
    </row>
    <row r="37" spans="1:15" ht="15.75">
      <c r="A37" s="28"/>
      <c r="B37" s="29" t="s">
        <v>26</v>
      </c>
      <c r="C37" s="29"/>
      <c r="D37" s="52">
        <v>39036</v>
      </c>
      <c r="E37" s="52"/>
      <c r="F37" s="29"/>
      <c r="G37" s="52">
        <v>39036</v>
      </c>
      <c r="H37" s="52"/>
      <c r="I37" s="52">
        <v>39036</v>
      </c>
      <c r="J37" s="37"/>
      <c r="K37" s="37"/>
      <c r="L37" s="31"/>
      <c r="M37" s="31"/>
      <c r="N37" s="29"/>
      <c r="O37" s="6"/>
    </row>
    <row r="38" spans="1:15" ht="15.75">
      <c r="A38" s="28"/>
      <c r="B38" s="29" t="s">
        <v>27</v>
      </c>
      <c r="C38" s="29"/>
      <c r="D38" s="37" t="s">
        <v>177</v>
      </c>
      <c r="E38" s="37"/>
      <c r="F38" s="29"/>
      <c r="G38" s="37" t="s">
        <v>190</v>
      </c>
      <c r="H38" s="37"/>
      <c r="I38" s="37" t="s">
        <v>203</v>
      </c>
      <c r="J38" s="37"/>
      <c r="K38" s="37"/>
      <c r="L38" s="31"/>
      <c r="M38" s="31"/>
      <c r="N38" s="29"/>
      <c r="O38" s="6"/>
    </row>
    <row r="39" spans="1:15" ht="15.75">
      <c r="A39" s="28"/>
      <c r="B39" s="29"/>
      <c r="C39" s="29"/>
      <c r="D39" s="29"/>
      <c r="E39" s="53"/>
      <c r="F39" s="53"/>
      <c r="G39" s="29"/>
      <c r="H39" s="53"/>
      <c r="I39" s="53"/>
      <c r="J39" s="53"/>
      <c r="K39" s="53"/>
      <c r="L39" s="53"/>
      <c r="M39" s="53"/>
      <c r="N39" s="29"/>
      <c r="O39" s="6"/>
    </row>
    <row r="40" spans="1:15" ht="15.75">
      <c r="A40" s="28"/>
      <c r="B40" s="29" t="s">
        <v>28</v>
      </c>
      <c r="C40" s="29"/>
      <c r="D40" s="29"/>
      <c r="E40" s="29"/>
      <c r="F40" s="29"/>
      <c r="G40" s="29"/>
      <c r="H40" s="29"/>
      <c r="I40" s="50"/>
      <c r="J40" s="29"/>
      <c r="K40" s="29"/>
      <c r="L40" s="29"/>
      <c r="M40" s="51">
        <f>(I28+G28)/(E28)</f>
        <v>0.15610548533213175</v>
      </c>
      <c r="N40" s="29"/>
      <c r="O40" s="6"/>
    </row>
    <row r="41" spans="1:15" ht="15.75">
      <c r="A41" s="28"/>
      <c r="B41" s="29" t="s">
        <v>29</v>
      </c>
      <c r="C41" s="29"/>
      <c r="D41" s="29"/>
      <c r="E41" s="29"/>
      <c r="F41" s="29"/>
      <c r="G41" s="29"/>
      <c r="H41" s="29"/>
      <c r="I41" s="50"/>
      <c r="J41" s="29"/>
      <c r="K41" s="29"/>
      <c r="L41" s="29"/>
      <c r="M41" s="51">
        <f>(I30+G30)/(E30)</f>
        <v>0.15610548533213175</v>
      </c>
      <c r="N41" s="29"/>
      <c r="O41" s="6"/>
    </row>
    <row r="42" spans="1:15" ht="15.75">
      <c r="A42" s="28"/>
      <c r="B42" s="29" t="s">
        <v>30</v>
      </c>
      <c r="C42" s="29"/>
      <c r="D42" s="29"/>
      <c r="E42" s="29"/>
      <c r="F42" s="29"/>
      <c r="G42" s="29"/>
      <c r="H42" s="29"/>
      <c r="I42" s="29"/>
      <c r="J42" s="29"/>
      <c r="K42" s="37" t="s">
        <v>168</v>
      </c>
      <c r="L42" s="37" t="s">
        <v>216</v>
      </c>
      <c r="M42" s="38">
        <v>60336</v>
      </c>
      <c r="N42" s="29"/>
      <c r="O42" s="6"/>
    </row>
    <row r="43" spans="1:15" ht="15.75">
      <c r="A43" s="28"/>
      <c r="B43" s="29"/>
      <c r="C43" s="29"/>
      <c r="D43" s="29"/>
      <c r="E43" s="29"/>
      <c r="F43" s="29"/>
      <c r="G43" s="29"/>
      <c r="H43" s="29"/>
      <c r="I43" s="29"/>
      <c r="J43" s="29"/>
      <c r="K43" s="29"/>
      <c r="L43" s="29"/>
      <c r="M43" s="54"/>
      <c r="N43" s="29"/>
      <c r="O43" s="6"/>
    </row>
    <row r="44" spans="1:15" ht="15.75">
      <c r="A44" s="28"/>
      <c r="B44" s="29" t="s">
        <v>31</v>
      </c>
      <c r="C44" s="29"/>
      <c r="D44" s="29"/>
      <c r="E44" s="29"/>
      <c r="F44" s="29"/>
      <c r="G44" s="29"/>
      <c r="H44" s="29"/>
      <c r="I44" s="29"/>
      <c r="J44" s="29"/>
      <c r="K44" s="37"/>
      <c r="L44" s="37"/>
      <c r="M44" s="37" t="s">
        <v>219</v>
      </c>
      <c r="N44" s="29"/>
      <c r="O44" s="6"/>
    </row>
    <row r="45" spans="1:15" ht="15.75">
      <c r="A45" s="43"/>
      <c r="B45" s="32" t="s">
        <v>32</v>
      </c>
      <c r="C45" s="32"/>
      <c r="D45" s="32"/>
      <c r="E45" s="32"/>
      <c r="F45" s="32"/>
      <c r="G45" s="32"/>
      <c r="H45" s="32"/>
      <c r="I45" s="32"/>
      <c r="J45" s="32"/>
      <c r="K45" s="55"/>
      <c r="L45" s="55"/>
      <c r="M45" s="56">
        <v>37483</v>
      </c>
      <c r="N45" s="32"/>
      <c r="O45" s="6"/>
    </row>
    <row r="46" spans="1:15" ht="15.75">
      <c r="A46" s="28"/>
      <c r="B46" s="29" t="s">
        <v>33</v>
      </c>
      <c r="C46" s="29"/>
      <c r="D46" s="29"/>
      <c r="E46" s="29"/>
      <c r="F46" s="29"/>
      <c r="G46" s="29"/>
      <c r="H46" s="29"/>
      <c r="I46" s="31"/>
      <c r="J46" s="29">
        <f>M46-K46+1</f>
        <v>89</v>
      </c>
      <c r="K46" s="58">
        <v>37302</v>
      </c>
      <c r="L46" s="59"/>
      <c r="M46" s="58">
        <v>37390</v>
      </c>
      <c r="N46" s="29"/>
      <c r="O46" s="6"/>
    </row>
    <row r="47" spans="1:15" ht="15.75">
      <c r="A47" s="28"/>
      <c r="B47" s="29" t="s">
        <v>34</v>
      </c>
      <c r="C47" s="29"/>
      <c r="D47" s="29"/>
      <c r="E47" s="29"/>
      <c r="F47" s="29"/>
      <c r="G47" s="29"/>
      <c r="H47" s="29"/>
      <c r="I47" s="31"/>
      <c r="J47" s="29">
        <f>M47-K47+1</f>
        <v>92</v>
      </c>
      <c r="K47" s="58">
        <v>37391</v>
      </c>
      <c r="L47" s="59"/>
      <c r="M47" s="58">
        <v>37482</v>
      </c>
      <c r="N47" s="29"/>
      <c r="O47" s="6"/>
    </row>
    <row r="48" spans="1:15" ht="15.75">
      <c r="A48" s="28"/>
      <c r="B48" s="29" t="s">
        <v>35</v>
      </c>
      <c r="C48" s="29"/>
      <c r="D48" s="29"/>
      <c r="E48" s="29"/>
      <c r="F48" s="29"/>
      <c r="G48" s="29"/>
      <c r="H48" s="29"/>
      <c r="I48" s="29"/>
      <c r="J48" s="29"/>
      <c r="K48" s="58"/>
      <c r="L48" s="59"/>
      <c r="M48" s="58" t="s">
        <v>220</v>
      </c>
      <c r="N48" s="29"/>
      <c r="O48" s="6"/>
    </row>
    <row r="49" spans="1:15" ht="15.75">
      <c r="A49" s="28"/>
      <c r="B49" s="29" t="s">
        <v>36</v>
      </c>
      <c r="C49" s="29"/>
      <c r="D49" s="29"/>
      <c r="E49" s="29"/>
      <c r="F49" s="29"/>
      <c r="G49" s="29"/>
      <c r="H49" s="29"/>
      <c r="I49" s="29"/>
      <c r="J49" s="29"/>
      <c r="K49" s="58"/>
      <c r="L49" s="59"/>
      <c r="M49" s="58" t="s">
        <v>221</v>
      </c>
      <c r="N49" s="29"/>
      <c r="O49" s="6"/>
    </row>
    <row r="50" spans="1:15" ht="15.75">
      <c r="A50" s="28"/>
      <c r="B50" s="29" t="s">
        <v>37</v>
      </c>
      <c r="C50" s="29"/>
      <c r="D50" s="29"/>
      <c r="E50" s="29"/>
      <c r="F50" s="29"/>
      <c r="G50" s="29"/>
      <c r="H50" s="29"/>
      <c r="I50" s="29"/>
      <c r="J50" s="29"/>
      <c r="K50" s="58"/>
      <c r="L50" s="59"/>
      <c r="M50" s="58">
        <v>37472</v>
      </c>
      <c r="N50" s="29"/>
      <c r="O50" s="6"/>
    </row>
    <row r="51" spans="1:15" ht="15.75">
      <c r="A51" s="28"/>
      <c r="B51" s="29"/>
      <c r="C51" s="29"/>
      <c r="D51" s="29"/>
      <c r="E51" s="29"/>
      <c r="F51" s="29"/>
      <c r="G51" s="29"/>
      <c r="H51" s="29"/>
      <c r="I51" s="29"/>
      <c r="J51" s="29"/>
      <c r="K51" s="29"/>
      <c r="L51" s="29"/>
      <c r="M51" s="60"/>
      <c r="N51" s="29"/>
      <c r="O51" s="6"/>
    </row>
    <row r="52" spans="1:15" ht="15.75">
      <c r="A52" s="7"/>
      <c r="B52" s="9"/>
      <c r="C52" s="9"/>
      <c r="D52" s="9"/>
      <c r="E52" s="9"/>
      <c r="F52" s="9"/>
      <c r="G52" s="9"/>
      <c r="H52" s="9"/>
      <c r="I52" s="9"/>
      <c r="J52" s="9"/>
      <c r="K52" s="9"/>
      <c r="L52" s="9"/>
      <c r="M52" s="61"/>
      <c r="N52" s="9"/>
      <c r="O52" s="6"/>
    </row>
    <row r="53" spans="1:15" ht="16.5" thickBot="1">
      <c r="A53" s="134"/>
      <c r="B53" s="135" t="s">
        <v>236</v>
      </c>
      <c r="C53" s="136"/>
      <c r="D53" s="136"/>
      <c r="E53" s="136"/>
      <c r="F53" s="136"/>
      <c r="G53" s="136"/>
      <c r="H53" s="136"/>
      <c r="I53" s="136"/>
      <c r="J53" s="136"/>
      <c r="K53" s="136"/>
      <c r="L53" s="136"/>
      <c r="M53" s="137"/>
      <c r="N53" s="138"/>
      <c r="O53" s="6"/>
    </row>
    <row r="54" spans="1:15" ht="15.75">
      <c r="A54" s="2"/>
      <c r="B54" s="5"/>
      <c r="C54" s="5"/>
      <c r="D54" s="5"/>
      <c r="E54" s="5"/>
      <c r="F54" s="5"/>
      <c r="G54" s="5"/>
      <c r="H54" s="5"/>
      <c r="I54" s="5"/>
      <c r="J54" s="5"/>
      <c r="K54" s="5"/>
      <c r="L54" s="5"/>
      <c r="M54" s="62"/>
      <c r="N54" s="5"/>
      <c r="O54" s="6"/>
    </row>
    <row r="55" spans="1:15" ht="15.75">
      <c r="A55" s="7"/>
      <c r="B55" s="63" t="s">
        <v>39</v>
      </c>
      <c r="C55" s="15"/>
      <c r="D55" s="15"/>
      <c r="E55" s="9"/>
      <c r="F55" s="9"/>
      <c r="G55" s="9"/>
      <c r="H55" s="9"/>
      <c r="I55" s="9"/>
      <c r="J55" s="9"/>
      <c r="K55" s="9"/>
      <c r="L55" s="9"/>
      <c r="M55" s="64"/>
      <c r="N55" s="9"/>
      <c r="O55" s="6"/>
    </row>
    <row r="56" spans="1:15" ht="15.75">
      <c r="A56" s="7"/>
      <c r="B56" s="15"/>
      <c r="C56" s="15"/>
      <c r="D56" s="15"/>
      <c r="E56" s="9"/>
      <c r="F56" s="9"/>
      <c r="G56" s="9"/>
      <c r="H56" s="9"/>
      <c r="I56" s="9"/>
      <c r="J56" s="9"/>
      <c r="K56" s="9"/>
      <c r="L56" s="9"/>
      <c r="M56" s="64"/>
      <c r="N56" s="9"/>
      <c r="O56" s="6"/>
    </row>
    <row r="57" spans="1:15" s="156" customFormat="1" ht="47.25">
      <c r="A57" s="150"/>
      <c r="B57" s="151" t="s">
        <v>40</v>
      </c>
      <c r="C57" s="152" t="s">
        <v>167</v>
      </c>
      <c r="D57" s="152"/>
      <c r="E57" s="152" t="s">
        <v>180</v>
      </c>
      <c r="F57" s="152"/>
      <c r="G57" s="152" t="s">
        <v>191</v>
      </c>
      <c r="H57" s="152"/>
      <c r="I57" s="152" t="s">
        <v>204</v>
      </c>
      <c r="J57" s="152"/>
      <c r="K57" s="152" t="s">
        <v>209</v>
      </c>
      <c r="L57" s="152"/>
      <c r="M57" s="153" t="s">
        <v>222</v>
      </c>
      <c r="N57" s="154"/>
      <c r="O57" s="155"/>
    </row>
    <row r="58" spans="1:15" ht="15.75">
      <c r="A58" s="28"/>
      <c r="B58" s="29" t="s">
        <v>41</v>
      </c>
      <c r="C58" s="65">
        <v>73021</v>
      </c>
      <c r="D58" s="65"/>
      <c r="E58" s="65">
        <v>80240</v>
      </c>
      <c r="F58" s="65"/>
      <c r="G58" s="65">
        <f>10959+137</f>
        <v>11096</v>
      </c>
      <c r="H58" s="65"/>
      <c r="I58" s="65">
        <v>10192</v>
      </c>
      <c r="J58" s="65"/>
      <c r="K58" s="65">
        <v>0</v>
      </c>
      <c r="L58" s="65"/>
      <c r="M58" s="66">
        <f>E58-G58+I58-K58</f>
        <v>79336</v>
      </c>
      <c r="N58" s="29"/>
      <c r="O58" s="6"/>
    </row>
    <row r="59" spans="1:15" ht="15.75">
      <c r="A59" s="28"/>
      <c r="B59" s="29" t="s">
        <v>42</v>
      </c>
      <c r="C59" s="65">
        <v>506</v>
      </c>
      <c r="D59" s="65"/>
      <c r="E59" s="65">
        <v>0</v>
      </c>
      <c r="F59" s="65"/>
      <c r="G59" s="65">
        <v>40</v>
      </c>
      <c r="H59" s="65"/>
      <c r="I59" s="65">
        <v>40</v>
      </c>
      <c r="J59" s="65"/>
      <c r="K59" s="65">
        <v>0</v>
      </c>
      <c r="L59" s="65"/>
      <c r="M59" s="66">
        <f>E59-G59+I59-K59</f>
        <v>0</v>
      </c>
      <c r="N59" s="29"/>
      <c r="O59" s="6"/>
    </row>
    <row r="60" spans="1:15" ht="15.75">
      <c r="A60" s="28"/>
      <c r="B60" s="29"/>
      <c r="C60" s="65"/>
      <c r="D60" s="65"/>
      <c r="E60" s="65"/>
      <c r="F60" s="65"/>
      <c r="G60" s="65"/>
      <c r="H60" s="65"/>
      <c r="I60" s="65"/>
      <c r="J60" s="65"/>
      <c r="K60" s="65"/>
      <c r="L60" s="65"/>
      <c r="M60" s="66"/>
      <c r="N60" s="29"/>
      <c r="O60" s="6"/>
    </row>
    <row r="61" spans="1:15" ht="15.75">
      <c r="A61" s="28"/>
      <c r="B61" s="29" t="s">
        <v>43</v>
      </c>
      <c r="C61" s="65">
        <f>SUM(C58:C60)</f>
        <v>73527</v>
      </c>
      <c r="D61" s="65"/>
      <c r="E61" s="65">
        <f>SUM(E58:E60)</f>
        <v>80240</v>
      </c>
      <c r="F61" s="65"/>
      <c r="G61" s="65">
        <f>SUM(G58:G60)</f>
        <v>11136</v>
      </c>
      <c r="H61" s="65"/>
      <c r="I61" s="65">
        <f>SUM(I58:I60)</f>
        <v>10232</v>
      </c>
      <c r="J61" s="65"/>
      <c r="K61" s="65">
        <f>SUM(K58:K60)</f>
        <v>0</v>
      </c>
      <c r="L61" s="65"/>
      <c r="M61" s="67">
        <f>SUM(M58:M60)</f>
        <v>79336</v>
      </c>
      <c r="N61" s="29"/>
      <c r="O61" s="6"/>
    </row>
    <row r="62" spans="1:15" ht="15.75">
      <c r="A62" s="28"/>
      <c r="B62" s="29"/>
      <c r="C62" s="65"/>
      <c r="D62" s="65"/>
      <c r="E62" s="65"/>
      <c r="F62" s="65"/>
      <c r="G62" s="65"/>
      <c r="H62" s="65"/>
      <c r="I62" s="65"/>
      <c r="J62" s="65"/>
      <c r="K62" s="65"/>
      <c r="L62" s="65"/>
      <c r="M62" s="67"/>
      <c r="N62" s="29"/>
      <c r="O62" s="6"/>
    </row>
    <row r="63" spans="1:15" ht="15.75">
      <c r="A63" s="7"/>
      <c r="B63" s="144" t="s">
        <v>44</v>
      </c>
      <c r="C63" s="68"/>
      <c r="D63" s="68"/>
      <c r="E63" s="68"/>
      <c r="F63" s="68"/>
      <c r="G63" s="69"/>
      <c r="H63" s="68"/>
      <c r="I63" s="68"/>
      <c r="J63" s="68"/>
      <c r="K63" s="68"/>
      <c r="L63" s="68"/>
      <c r="M63" s="70"/>
      <c r="N63" s="9"/>
      <c r="O63" s="6"/>
    </row>
    <row r="64" spans="1:15" ht="15.75">
      <c r="A64" s="7"/>
      <c r="B64" s="9"/>
      <c r="C64" s="68"/>
      <c r="D64" s="68"/>
      <c r="E64" s="68"/>
      <c r="F64" s="68"/>
      <c r="G64" s="68"/>
      <c r="H64" s="68"/>
      <c r="I64" s="68"/>
      <c r="J64" s="68"/>
      <c r="K64" s="68"/>
      <c r="L64" s="68"/>
      <c r="M64" s="70"/>
      <c r="N64" s="9"/>
      <c r="O64" s="6"/>
    </row>
    <row r="65" spans="1:15" ht="15.75">
      <c r="A65" s="28"/>
      <c r="B65" s="29" t="s">
        <v>41</v>
      </c>
      <c r="C65" s="65">
        <v>79997</v>
      </c>
      <c r="D65" s="65"/>
      <c r="E65" s="66">
        <v>87307</v>
      </c>
      <c r="F65" s="65"/>
      <c r="G65" s="65">
        <f>13297+476</f>
        <v>13773</v>
      </c>
      <c r="H65" s="65"/>
      <c r="I65" s="65">
        <f>5825+12217</f>
        <v>18042</v>
      </c>
      <c r="J65" s="65"/>
      <c r="K65" s="65"/>
      <c r="L65" s="65"/>
      <c r="M65" s="66">
        <f>E65-G65+I65-K65</f>
        <v>91576</v>
      </c>
      <c r="N65" s="29"/>
      <c r="O65" s="6"/>
    </row>
    <row r="66" spans="1:15" ht="15.75">
      <c r="A66" s="28"/>
      <c r="B66" s="29" t="s">
        <v>42</v>
      </c>
      <c r="C66" s="65">
        <v>611</v>
      </c>
      <c r="D66" s="65"/>
      <c r="E66" s="66">
        <v>0</v>
      </c>
      <c r="F66" s="65"/>
      <c r="G66" s="65">
        <f>55+46</f>
        <v>101</v>
      </c>
      <c r="H66" s="65"/>
      <c r="I66" s="65">
        <v>101</v>
      </c>
      <c r="J66" s="65"/>
      <c r="K66" s="65"/>
      <c r="L66" s="65"/>
      <c r="M66" s="66">
        <f>E66-G66+I66-K66</f>
        <v>0</v>
      </c>
      <c r="N66" s="29"/>
      <c r="O66" s="6"/>
    </row>
    <row r="67" spans="1:15" ht="15.75">
      <c r="A67" s="28"/>
      <c r="B67" s="65"/>
      <c r="C67" s="65"/>
      <c r="D67" s="65"/>
      <c r="E67" s="66"/>
      <c r="F67" s="65"/>
      <c r="G67" s="65"/>
      <c r="H67" s="65"/>
      <c r="I67" s="65"/>
      <c r="J67" s="65"/>
      <c r="K67" s="65"/>
      <c r="L67" s="65"/>
      <c r="M67" s="66"/>
      <c r="N67" s="29"/>
      <c r="O67" s="6"/>
    </row>
    <row r="68" spans="1:15" ht="15.75">
      <c r="A68" s="28"/>
      <c r="B68" s="29" t="s">
        <v>43</v>
      </c>
      <c r="C68" s="65">
        <f>SUM(C65:C67)</f>
        <v>80608</v>
      </c>
      <c r="D68" s="65"/>
      <c r="E68" s="65">
        <f>E65</f>
        <v>87307</v>
      </c>
      <c r="F68" s="65"/>
      <c r="G68" s="65">
        <f>SUM(G65:G67)</f>
        <v>13874</v>
      </c>
      <c r="H68" s="65"/>
      <c r="I68" s="65">
        <f>SUM(I65:I67)</f>
        <v>18143</v>
      </c>
      <c r="J68" s="65"/>
      <c r="K68" s="65">
        <f>SUM(K65:K67)</f>
        <v>0</v>
      </c>
      <c r="L68" s="65"/>
      <c r="M68" s="65">
        <f>SUM(M65:M67)</f>
        <v>91576</v>
      </c>
      <c r="N68" s="29"/>
      <c r="O68" s="6"/>
    </row>
    <row r="69" spans="1:15" ht="15.75">
      <c r="A69" s="28"/>
      <c r="B69" s="29"/>
      <c r="C69" s="65"/>
      <c r="D69" s="65"/>
      <c r="E69" s="67"/>
      <c r="F69" s="65"/>
      <c r="G69" s="65"/>
      <c r="H69" s="65"/>
      <c r="I69" s="65"/>
      <c r="J69" s="65"/>
      <c r="K69" s="65"/>
      <c r="L69" s="65"/>
      <c r="M69" s="67"/>
      <c r="N69" s="29"/>
      <c r="O69" s="6"/>
    </row>
    <row r="70" spans="1:15" ht="15.75">
      <c r="A70" s="28"/>
      <c r="B70" s="29" t="s">
        <v>45</v>
      </c>
      <c r="C70" s="65">
        <v>0</v>
      </c>
      <c r="D70" s="65"/>
      <c r="E70" s="65">
        <v>0</v>
      </c>
      <c r="F70" s="65"/>
      <c r="G70" s="65"/>
      <c r="H70" s="65"/>
      <c r="I70" s="65"/>
      <c r="J70" s="65"/>
      <c r="K70" s="65"/>
      <c r="L70" s="65"/>
      <c r="M70" s="65">
        <f>E70+G70</f>
        <v>0</v>
      </c>
      <c r="N70" s="29"/>
      <c r="O70" s="6"/>
    </row>
    <row r="71" spans="1:15" ht="15.75">
      <c r="A71" s="28"/>
      <c r="B71" s="29" t="s">
        <v>46</v>
      </c>
      <c r="C71" s="65">
        <v>0</v>
      </c>
      <c r="D71" s="65"/>
      <c r="E71" s="67">
        <v>2926</v>
      </c>
      <c r="F71" s="65"/>
      <c r="G71" s="65"/>
      <c r="H71" s="65"/>
      <c r="I71" s="65">
        <v>0</v>
      </c>
      <c r="J71" s="65"/>
      <c r="K71" s="65"/>
      <c r="L71" s="65"/>
      <c r="M71" s="67">
        <f>E71+I71</f>
        <v>2926</v>
      </c>
      <c r="N71" s="29"/>
      <c r="O71" s="6"/>
    </row>
    <row r="72" spans="1:16" ht="15.75">
      <c r="A72" s="28"/>
      <c r="B72" s="29" t="s">
        <v>47</v>
      </c>
      <c r="C72" s="65">
        <v>40958</v>
      </c>
      <c r="D72" s="65"/>
      <c r="E72" s="67">
        <v>25693</v>
      </c>
      <c r="F72" s="65"/>
      <c r="G72" s="65">
        <f>G68+G61</f>
        <v>25010</v>
      </c>
      <c r="H72" s="65"/>
      <c r="I72" s="65">
        <f>-I68-I61</f>
        <v>-28375</v>
      </c>
      <c r="J72" s="65"/>
      <c r="K72" s="65"/>
      <c r="L72" s="65"/>
      <c r="M72" s="67">
        <f>E72+G88+I72</f>
        <v>21715</v>
      </c>
      <c r="N72" s="29"/>
      <c r="O72" s="6"/>
      <c r="P72" s="131"/>
    </row>
    <row r="73" spans="1:15" ht="15.75">
      <c r="A73" s="28"/>
      <c r="B73" s="29" t="s">
        <v>48</v>
      </c>
      <c r="C73" s="65">
        <v>0</v>
      </c>
      <c r="D73" s="65"/>
      <c r="E73" s="67">
        <v>1853</v>
      </c>
      <c r="F73" s="65"/>
      <c r="G73" s="65"/>
      <c r="H73" s="65"/>
      <c r="I73" s="65">
        <v>-613</v>
      </c>
      <c r="J73" s="65"/>
      <c r="K73" s="65"/>
      <c r="L73" s="65"/>
      <c r="M73" s="67">
        <f>-I73+E73</f>
        <v>2466</v>
      </c>
      <c r="N73" s="29"/>
      <c r="O73" s="6"/>
    </row>
    <row r="74" spans="1:15" ht="15.75">
      <c r="A74" s="28"/>
      <c r="B74" s="29" t="s">
        <v>49</v>
      </c>
      <c r="C74" s="65">
        <v>-95</v>
      </c>
      <c r="D74" s="65"/>
      <c r="E74" s="67">
        <v>-95</v>
      </c>
      <c r="F74" s="65"/>
      <c r="G74" s="65">
        <v>0</v>
      </c>
      <c r="H74" s="65"/>
      <c r="I74" s="65"/>
      <c r="J74" s="65"/>
      <c r="K74" s="65"/>
      <c r="L74" s="65"/>
      <c r="M74" s="67">
        <f>E74+G74</f>
        <v>-95</v>
      </c>
      <c r="N74" s="29"/>
      <c r="O74" s="6"/>
    </row>
    <row r="75" spans="1:15" ht="15.75">
      <c r="A75" s="28"/>
      <c r="B75" s="29" t="s">
        <v>50</v>
      </c>
      <c r="C75" s="65">
        <v>0</v>
      </c>
      <c r="D75" s="65"/>
      <c r="E75" s="67">
        <v>0</v>
      </c>
      <c r="F75" s="65"/>
      <c r="G75" s="65"/>
      <c r="H75" s="65"/>
      <c r="I75" s="71"/>
      <c r="J75" s="65"/>
      <c r="K75" s="65"/>
      <c r="L75" s="65"/>
      <c r="M75" s="67">
        <v>0</v>
      </c>
      <c r="N75" s="29"/>
      <c r="O75" s="6"/>
    </row>
    <row r="76" spans="1:15" ht="15.75">
      <c r="A76" s="28"/>
      <c r="B76" s="29" t="s">
        <v>19</v>
      </c>
      <c r="C76" s="67">
        <f>SUM(C68:C74)+C61</f>
        <v>194998</v>
      </c>
      <c r="D76" s="67"/>
      <c r="E76" s="67">
        <f>SUM(E68:E75)+E61</f>
        <v>197924</v>
      </c>
      <c r="F76" s="65"/>
      <c r="G76" s="65">
        <f>G72-G74</f>
        <v>25010</v>
      </c>
      <c r="H76" s="65"/>
      <c r="I76" s="65"/>
      <c r="J76" s="65"/>
      <c r="K76" s="65"/>
      <c r="L76" s="65"/>
      <c r="M76" s="67">
        <f>SUM(M68:M75)+M61</f>
        <v>197924</v>
      </c>
      <c r="N76" s="29"/>
      <c r="O76" s="6"/>
    </row>
    <row r="77" spans="1:15" ht="15.75">
      <c r="A77" s="28"/>
      <c r="B77" s="65"/>
      <c r="C77" s="65"/>
      <c r="D77" s="65"/>
      <c r="E77" s="65"/>
      <c r="F77" s="65"/>
      <c r="G77" s="65"/>
      <c r="H77" s="65"/>
      <c r="I77" s="65"/>
      <c r="J77" s="65"/>
      <c r="K77" s="65"/>
      <c r="L77" s="65"/>
      <c r="M77" s="65"/>
      <c r="N77" s="29"/>
      <c r="O77" s="6"/>
    </row>
    <row r="78" spans="1:15" ht="15.75">
      <c r="A78" s="7"/>
      <c r="B78" s="68"/>
      <c r="C78" s="9"/>
      <c r="D78" s="9"/>
      <c r="E78" s="9"/>
      <c r="F78" s="9"/>
      <c r="G78" s="20" t="s">
        <v>192</v>
      </c>
      <c r="H78" s="9"/>
      <c r="I78" s="9"/>
      <c r="J78" s="9"/>
      <c r="K78" s="23"/>
      <c r="L78" s="9"/>
      <c r="M78" s="20" t="s">
        <v>192</v>
      </c>
      <c r="N78" s="9"/>
      <c r="O78" s="6"/>
    </row>
    <row r="79" spans="1:15" ht="15.75">
      <c r="A79" s="7"/>
      <c r="B79" s="63" t="s">
        <v>51</v>
      </c>
      <c r="C79" s="17"/>
      <c r="D79" s="17" t="s">
        <v>178</v>
      </c>
      <c r="E79" s="17" t="s">
        <v>181</v>
      </c>
      <c r="F79" s="17"/>
      <c r="G79" s="20" t="s">
        <v>193</v>
      </c>
      <c r="H79" s="17"/>
      <c r="I79" s="17" t="s">
        <v>178</v>
      </c>
      <c r="J79" s="20"/>
      <c r="K79" s="20" t="s">
        <v>181</v>
      </c>
      <c r="L79" s="20"/>
      <c r="M79" s="20" t="s">
        <v>223</v>
      </c>
      <c r="N79" s="17"/>
      <c r="O79" s="6"/>
    </row>
    <row r="80" spans="1:15" ht="15.75">
      <c r="A80" s="28"/>
      <c r="B80" s="29" t="s">
        <v>52</v>
      </c>
      <c r="C80" s="29"/>
      <c r="D80" s="29">
        <v>0</v>
      </c>
      <c r="E80" s="29">
        <v>0</v>
      </c>
      <c r="F80" s="29"/>
      <c r="G80" s="65">
        <f>SUM(C80:E80)</f>
        <v>0</v>
      </c>
      <c r="H80" s="29"/>
      <c r="I80" s="29">
        <v>0</v>
      </c>
      <c r="J80" s="29"/>
      <c r="K80" s="65">
        <f>SUM(G80:I80)</f>
        <v>0</v>
      </c>
      <c r="L80" s="29"/>
      <c r="M80" s="66">
        <v>0</v>
      </c>
      <c r="N80" s="29"/>
      <c r="O80" s="6"/>
    </row>
    <row r="81" spans="1:15" ht="15.75">
      <c r="A81" s="28"/>
      <c r="B81" s="29" t="s">
        <v>53</v>
      </c>
      <c r="C81" s="53"/>
      <c r="D81" s="29">
        <v>10959</v>
      </c>
      <c r="E81" s="29">
        <v>13297</v>
      </c>
      <c r="F81" s="29"/>
      <c r="G81" s="65">
        <f>E81+D81</f>
        <v>24256</v>
      </c>
      <c r="H81" s="29"/>
      <c r="I81" s="29"/>
      <c r="J81" s="29"/>
      <c r="K81" s="65">
        <v>0</v>
      </c>
      <c r="L81" s="29"/>
      <c r="M81" s="66"/>
      <c r="N81" s="29"/>
      <c r="O81" s="6"/>
    </row>
    <row r="82" spans="1:15" ht="15.75">
      <c r="A82" s="28"/>
      <c r="B82" s="29" t="s">
        <v>54</v>
      </c>
      <c r="C82" s="29"/>
      <c r="D82" s="29"/>
      <c r="E82" s="29"/>
      <c r="F82" s="29"/>
      <c r="G82" s="65"/>
      <c r="H82" s="29"/>
      <c r="I82" s="29">
        <f>1452+191+1516+195+1441+251+9-2034</f>
        <v>3021</v>
      </c>
      <c r="J82" s="29"/>
      <c r="K82" s="65">
        <f>3197+188+3010+212+3585+271+10-6825+5</f>
        <v>3653</v>
      </c>
      <c r="L82" s="29"/>
      <c r="M82" s="66">
        <f>K82+I82</f>
        <v>6674</v>
      </c>
      <c r="N82" s="29"/>
      <c r="O82" s="6"/>
    </row>
    <row r="83" spans="1:15" ht="15.75">
      <c r="A83" s="28"/>
      <c r="B83" s="29" t="s">
        <v>55</v>
      </c>
      <c r="C83" s="29"/>
      <c r="D83" s="29"/>
      <c r="E83" s="29"/>
      <c r="F83" s="29"/>
      <c r="G83" s="65"/>
      <c r="H83" s="29"/>
      <c r="I83" s="29"/>
      <c r="J83" s="29"/>
      <c r="K83" s="65"/>
      <c r="L83" s="29"/>
      <c r="M83" s="66">
        <f>177+62+46</f>
        <v>285</v>
      </c>
      <c r="N83" s="29"/>
      <c r="O83" s="6"/>
    </row>
    <row r="84" spans="1:15" ht="15.75">
      <c r="A84" s="28"/>
      <c r="B84" s="29" t="s">
        <v>56</v>
      </c>
      <c r="C84" s="29"/>
      <c r="D84" s="29"/>
      <c r="E84" s="29"/>
      <c r="F84" s="29"/>
      <c r="G84" s="65"/>
      <c r="H84" s="29"/>
      <c r="I84" s="29"/>
      <c r="J84" s="29"/>
      <c r="K84" s="65"/>
      <c r="L84" s="29"/>
      <c r="M84" s="66">
        <v>0</v>
      </c>
      <c r="N84" s="29"/>
      <c r="O84" s="6"/>
    </row>
    <row r="85" spans="1:15" ht="15.75">
      <c r="A85" s="28"/>
      <c r="B85" s="29" t="s">
        <v>57</v>
      </c>
      <c r="C85" s="29"/>
      <c r="D85" s="29"/>
      <c r="E85" s="29"/>
      <c r="F85" s="29"/>
      <c r="G85" s="65"/>
      <c r="H85" s="29"/>
      <c r="I85" s="29"/>
      <c r="J85" s="29"/>
      <c r="K85" s="65"/>
      <c r="L85" s="29"/>
      <c r="M85" s="66">
        <v>0</v>
      </c>
      <c r="N85" s="29"/>
      <c r="O85" s="6"/>
    </row>
    <row r="86" spans="1:15" ht="15.75">
      <c r="A86" s="28"/>
      <c r="B86" s="29" t="s">
        <v>58</v>
      </c>
      <c r="C86" s="29"/>
      <c r="D86" s="65">
        <f>SUM(D80:D85)</f>
        <v>10959</v>
      </c>
      <c r="E86" s="65">
        <f>SUM(E80:E85)</f>
        <v>13297</v>
      </c>
      <c r="F86" s="29"/>
      <c r="G86" s="65">
        <f>SUM(G80:G85)</f>
        <v>24256</v>
      </c>
      <c r="H86" s="29"/>
      <c r="I86" s="65">
        <f>SUM(I80:I85)</f>
        <v>3021</v>
      </c>
      <c r="J86" s="29"/>
      <c r="K86" s="65">
        <f>SUM(K80:K85)</f>
        <v>3653</v>
      </c>
      <c r="L86" s="29"/>
      <c r="M86" s="67">
        <f>SUM(M80:M85)</f>
        <v>6959</v>
      </c>
      <c r="N86" s="29"/>
      <c r="O86" s="6"/>
    </row>
    <row r="87" spans="1:15" ht="15.75">
      <c r="A87" s="28"/>
      <c r="B87" s="29" t="s">
        <v>59</v>
      </c>
      <c r="C87" s="29"/>
      <c r="D87" s="65">
        <f>G59</f>
        <v>40</v>
      </c>
      <c r="E87" s="65">
        <f>G66</f>
        <v>101</v>
      </c>
      <c r="F87" s="29"/>
      <c r="G87" s="65">
        <f>E87+D87</f>
        <v>141</v>
      </c>
      <c r="H87" s="29"/>
      <c r="I87" s="65">
        <v>0</v>
      </c>
      <c r="J87" s="29"/>
      <c r="K87" s="65">
        <v>0</v>
      </c>
      <c r="L87" s="29"/>
      <c r="M87" s="66">
        <f>-G87</f>
        <v>-141</v>
      </c>
      <c r="N87" s="29"/>
      <c r="O87" s="6"/>
    </row>
    <row r="88" spans="1:15" ht="15.75">
      <c r="A88" s="28"/>
      <c r="B88" s="29" t="s">
        <v>60</v>
      </c>
      <c r="C88" s="29"/>
      <c r="D88" s="65">
        <f>D86+D87</f>
        <v>10999</v>
      </c>
      <c r="E88" s="65">
        <f>E86+E87</f>
        <v>13398</v>
      </c>
      <c r="F88" s="29"/>
      <c r="G88" s="65">
        <f>G86+G87</f>
        <v>24397</v>
      </c>
      <c r="H88" s="29"/>
      <c r="I88" s="65">
        <f>I86+I87</f>
        <v>3021</v>
      </c>
      <c r="J88" s="29"/>
      <c r="K88" s="65">
        <f>K86+K87</f>
        <v>3653</v>
      </c>
      <c r="L88" s="29"/>
      <c r="M88" s="67">
        <f>M86+M87</f>
        <v>6818</v>
      </c>
      <c r="N88" s="29"/>
      <c r="O88" s="6"/>
    </row>
    <row r="89" spans="1:15" ht="15.75">
      <c r="A89" s="28"/>
      <c r="B89" s="157" t="s">
        <v>61</v>
      </c>
      <c r="C89" s="72"/>
      <c r="D89" s="72"/>
      <c r="E89" s="29"/>
      <c r="F89" s="29"/>
      <c r="G89" s="29"/>
      <c r="H89" s="29"/>
      <c r="I89" s="29"/>
      <c r="J89" s="29"/>
      <c r="K89" s="65"/>
      <c r="L89" s="29"/>
      <c r="M89" s="66"/>
      <c r="N89" s="29"/>
      <c r="O89" s="6"/>
    </row>
    <row r="90" spans="1:15" ht="15.75">
      <c r="A90" s="28">
        <v>1</v>
      </c>
      <c r="B90" s="29" t="s">
        <v>62</v>
      </c>
      <c r="C90" s="29"/>
      <c r="D90" s="29"/>
      <c r="E90" s="29"/>
      <c r="F90" s="29"/>
      <c r="G90" s="29"/>
      <c r="H90" s="29"/>
      <c r="I90" s="29"/>
      <c r="J90" s="29"/>
      <c r="K90" s="29"/>
      <c r="L90" s="29"/>
      <c r="M90" s="66">
        <v>-4</v>
      </c>
      <c r="N90" s="29"/>
      <c r="O90" s="6"/>
    </row>
    <row r="91" spans="1:15" ht="15.75">
      <c r="A91" s="28">
        <v>2</v>
      </c>
      <c r="B91" s="29" t="s">
        <v>63</v>
      </c>
      <c r="C91" s="29"/>
      <c r="D91" s="29"/>
      <c r="E91" s="29"/>
      <c r="F91" s="29"/>
      <c r="G91" s="29"/>
      <c r="H91" s="29"/>
      <c r="I91" s="29"/>
      <c r="J91" s="29"/>
      <c r="K91" s="29"/>
      <c r="L91" s="29"/>
      <c r="M91" s="66">
        <f>-176-81</f>
        <v>-257</v>
      </c>
      <c r="N91" s="29"/>
      <c r="O91" s="6"/>
    </row>
    <row r="92" spans="1:15" ht="15.75">
      <c r="A92" s="28">
        <v>3</v>
      </c>
      <c r="B92" s="29" t="s">
        <v>64</v>
      </c>
      <c r="C92" s="29"/>
      <c r="D92" s="29"/>
      <c r="E92" s="29"/>
      <c r="F92" s="29"/>
      <c r="G92" s="29"/>
      <c r="H92" s="29"/>
      <c r="I92" s="29"/>
      <c r="J92" s="29"/>
      <c r="K92" s="29"/>
      <c r="L92" s="29"/>
      <c r="M92" s="66">
        <v>-1926</v>
      </c>
      <c r="N92" s="29"/>
      <c r="O92" s="6"/>
    </row>
    <row r="93" spans="1:15" ht="15.75">
      <c r="A93" s="28">
        <v>4</v>
      </c>
      <c r="B93" s="29" t="s">
        <v>227</v>
      </c>
      <c r="C93" s="29"/>
      <c r="D93" s="29"/>
      <c r="E93" s="29"/>
      <c r="F93" s="29"/>
      <c r="G93" s="29"/>
      <c r="H93" s="29"/>
      <c r="I93" s="29"/>
      <c r="J93" s="29"/>
      <c r="K93" s="29"/>
      <c r="L93" s="29"/>
      <c r="M93" s="66">
        <v>-295</v>
      </c>
      <c r="N93" s="29"/>
      <c r="O93" s="6"/>
    </row>
    <row r="94" spans="1:15" ht="15.75">
      <c r="A94" s="28">
        <v>4</v>
      </c>
      <c r="B94" s="29" t="s">
        <v>65</v>
      </c>
      <c r="C94" s="29"/>
      <c r="D94" s="29"/>
      <c r="E94" s="29"/>
      <c r="F94" s="29"/>
      <c r="G94" s="29"/>
      <c r="H94" s="29"/>
      <c r="I94" s="29"/>
      <c r="J94" s="29"/>
      <c r="K94" s="29"/>
      <c r="L94" s="29"/>
      <c r="M94" s="66">
        <v>-5</v>
      </c>
      <c r="N94" s="29"/>
      <c r="O94" s="6"/>
    </row>
    <row r="95" spans="1:15" ht="15.75">
      <c r="A95" s="28">
        <v>5</v>
      </c>
      <c r="B95" s="29" t="s">
        <v>66</v>
      </c>
      <c r="C95" s="29"/>
      <c r="D95" s="29"/>
      <c r="E95" s="29"/>
      <c r="F95" s="29"/>
      <c r="G95" s="29"/>
      <c r="H95" s="29"/>
      <c r="I95" s="29"/>
      <c r="J95" s="29"/>
      <c r="K95" s="29"/>
      <c r="L95" s="29"/>
      <c r="M95" s="66">
        <v>-207</v>
      </c>
      <c r="N95" s="29"/>
      <c r="O95" s="6"/>
    </row>
    <row r="96" spans="1:15" ht="15.75">
      <c r="A96" s="28">
        <v>6</v>
      </c>
      <c r="B96" s="29" t="s">
        <v>67</v>
      </c>
      <c r="C96" s="29"/>
      <c r="D96" s="29"/>
      <c r="E96" s="29"/>
      <c r="F96" s="29"/>
      <c r="G96" s="29"/>
      <c r="H96" s="29"/>
      <c r="I96" s="29"/>
      <c r="J96" s="29"/>
      <c r="K96" s="29"/>
      <c r="L96" s="29"/>
      <c r="M96" s="66">
        <v>-146</v>
      </c>
      <c r="N96" s="29"/>
      <c r="O96" s="6"/>
    </row>
    <row r="97" spans="1:15" ht="15.75">
      <c r="A97" s="28">
        <v>7</v>
      </c>
      <c r="B97" s="29" t="s">
        <v>68</v>
      </c>
      <c r="C97" s="29"/>
      <c r="D97" s="29"/>
      <c r="E97" s="29"/>
      <c r="F97" s="29"/>
      <c r="G97" s="29"/>
      <c r="H97" s="29"/>
      <c r="I97" s="29"/>
      <c r="J97" s="29"/>
      <c r="K97" s="29"/>
      <c r="L97" s="29"/>
      <c r="M97" s="66">
        <v>0</v>
      </c>
      <c r="N97" s="29"/>
      <c r="O97" s="6"/>
    </row>
    <row r="98" spans="1:15" ht="15.75">
      <c r="A98" s="28">
        <v>8</v>
      </c>
      <c r="B98" s="29" t="s">
        <v>69</v>
      </c>
      <c r="C98" s="29"/>
      <c r="D98" s="29"/>
      <c r="E98" s="29"/>
      <c r="F98" s="29"/>
      <c r="G98" s="29"/>
      <c r="H98" s="29"/>
      <c r="I98" s="29"/>
      <c r="J98" s="29"/>
      <c r="K98" s="65">
        <f>-M98</f>
        <v>613</v>
      </c>
      <c r="L98" s="29"/>
      <c r="M98" s="66">
        <f>I73</f>
        <v>-613</v>
      </c>
      <c r="N98" s="29"/>
      <c r="O98" s="6"/>
    </row>
    <row r="99" spans="1:15" ht="15.75">
      <c r="A99" s="28">
        <v>9</v>
      </c>
      <c r="B99" s="29" t="s">
        <v>46</v>
      </c>
      <c r="C99" s="29"/>
      <c r="D99" s="29"/>
      <c r="E99" s="29"/>
      <c r="F99" s="29"/>
      <c r="G99" s="29"/>
      <c r="H99" s="29"/>
      <c r="I99" s="29"/>
      <c r="J99" s="29"/>
      <c r="K99" s="65">
        <f>-M99</f>
        <v>0</v>
      </c>
      <c r="L99" s="29"/>
      <c r="M99" s="66">
        <v>0</v>
      </c>
      <c r="N99" s="29"/>
      <c r="O99" s="6"/>
    </row>
    <row r="100" spans="1:15" ht="15.75">
      <c r="A100" s="28">
        <v>10</v>
      </c>
      <c r="B100" s="29" t="s">
        <v>228</v>
      </c>
      <c r="C100" s="29"/>
      <c r="D100" s="29"/>
      <c r="E100" s="29"/>
      <c r="F100" s="29"/>
      <c r="G100" s="29"/>
      <c r="H100" s="29"/>
      <c r="I100" s="29"/>
      <c r="J100" s="29"/>
      <c r="K100" s="29"/>
      <c r="L100" s="29"/>
      <c r="M100" s="66">
        <v>-159</v>
      </c>
      <c r="N100" s="29"/>
      <c r="O100" s="6"/>
    </row>
    <row r="101" spans="1:15" ht="15.75">
      <c r="A101" s="28">
        <v>11</v>
      </c>
      <c r="B101" s="29" t="s">
        <v>71</v>
      </c>
      <c r="C101" s="29"/>
      <c r="D101" s="29"/>
      <c r="E101" s="29"/>
      <c r="F101" s="29"/>
      <c r="G101" s="29"/>
      <c r="H101" s="29"/>
      <c r="I101" s="29"/>
      <c r="J101" s="29"/>
      <c r="K101" s="29"/>
      <c r="L101" s="29"/>
      <c r="M101" s="66">
        <f>SUM(M88:M100)*-1</f>
        <v>-3206</v>
      </c>
      <c r="N101" s="29"/>
      <c r="O101" s="6"/>
    </row>
    <row r="102" spans="1:15" ht="15.75">
      <c r="A102" s="28"/>
      <c r="B102" s="157" t="s">
        <v>72</v>
      </c>
      <c r="C102" s="72"/>
      <c r="D102" s="72"/>
      <c r="E102" s="29"/>
      <c r="F102" s="29"/>
      <c r="G102" s="29"/>
      <c r="H102" s="29"/>
      <c r="I102" s="29"/>
      <c r="J102" s="29"/>
      <c r="K102" s="29"/>
      <c r="L102" s="29"/>
      <c r="M102" s="73"/>
      <c r="N102" s="29"/>
      <c r="O102" s="6"/>
    </row>
    <row r="103" spans="1:15" ht="15.75">
      <c r="A103" s="28"/>
      <c r="B103" s="74" t="s">
        <v>73</v>
      </c>
      <c r="C103" s="72"/>
      <c r="D103" s="72"/>
      <c r="E103" s="29"/>
      <c r="F103" s="29"/>
      <c r="G103" s="29"/>
      <c r="H103" s="29"/>
      <c r="I103" s="29"/>
      <c r="J103" s="29"/>
      <c r="K103" s="65">
        <f>E72</f>
        <v>25693</v>
      </c>
      <c r="L103" s="29"/>
      <c r="M103" s="73"/>
      <c r="N103" s="29"/>
      <c r="O103" s="6"/>
    </row>
    <row r="104" spans="1:15" ht="15.75">
      <c r="A104" s="28"/>
      <c r="B104" s="74" t="s">
        <v>74</v>
      </c>
      <c r="C104" s="72"/>
      <c r="D104" s="72"/>
      <c r="E104" s="29"/>
      <c r="F104" s="29"/>
      <c r="G104" s="29"/>
      <c r="H104" s="29"/>
      <c r="I104" s="29"/>
      <c r="J104" s="29"/>
      <c r="K104" s="65">
        <f>G88</f>
        <v>24397</v>
      </c>
      <c r="L104" s="29"/>
      <c r="M104" s="73"/>
      <c r="N104" s="29"/>
      <c r="O104" s="6"/>
    </row>
    <row r="105" spans="1:15" ht="15.75">
      <c r="A105" s="75"/>
      <c r="B105" s="29" t="s">
        <v>75</v>
      </c>
      <c r="C105" s="72"/>
      <c r="D105" s="72"/>
      <c r="E105" s="29"/>
      <c r="F105" s="29"/>
      <c r="G105" s="29"/>
      <c r="H105" s="29"/>
      <c r="I105" s="29"/>
      <c r="J105" s="29"/>
      <c r="K105" s="65">
        <f>-I68-I61</f>
        <v>-28375</v>
      </c>
      <c r="L105" s="29"/>
      <c r="M105" s="73"/>
      <c r="N105" s="29"/>
      <c r="O105" s="6"/>
    </row>
    <row r="106" spans="1:15" ht="15.75">
      <c r="A106" s="28"/>
      <c r="B106" s="29" t="s">
        <v>76</v>
      </c>
      <c r="C106" s="72"/>
      <c r="D106" s="72"/>
      <c r="E106" s="29"/>
      <c r="F106" s="29"/>
      <c r="G106" s="29"/>
      <c r="H106" s="29"/>
      <c r="I106" s="29"/>
      <c r="J106" s="29"/>
      <c r="K106" s="65">
        <v>0</v>
      </c>
      <c r="L106" s="65"/>
      <c r="M106" s="66"/>
      <c r="N106" s="29"/>
      <c r="O106" s="6"/>
    </row>
    <row r="107" spans="1:15" ht="15.75">
      <c r="A107" s="28"/>
      <c r="B107" s="29" t="s">
        <v>77</v>
      </c>
      <c r="C107" s="29"/>
      <c r="D107" s="29"/>
      <c r="E107" s="29"/>
      <c r="F107" s="29"/>
      <c r="G107" s="29"/>
      <c r="H107" s="29"/>
      <c r="I107" s="29"/>
      <c r="J107" s="29"/>
      <c r="K107" s="65">
        <v>0</v>
      </c>
      <c r="L107" s="65"/>
      <c r="M107" s="66"/>
      <c r="N107" s="29"/>
      <c r="O107" s="6"/>
    </row>
    <row r="108" spans="1:15" ht="15.75">
      <c r="A108" s="28"/>
      <c r="B108" s="29" t="s">
        <v>78</v>
      </c>
      <c r="C108" s="29"/>
      <c r="D108" s="29"/>
      <c r="E108" s="29"/>
      <c r="F108" s="29"/>
      <c r="G108" s="29"/>
      <c r="H108" s="29"/>
      <c r="I108" s="29"/>
      <c r="J108" s="29"/>
      <c r="K108" s="65">
        <v>0</v>
      </c>
      <c r="L108" s="65"/>
      <c r="M108" s="66"/>
      <c r="N108" s="29"/>
      <c r="O108" s="6"/>
    </row>
    <row r="109" spans="1:15" ht="15.75">
      <c r="A109" s="28"/>
      <c r="B109" s="29" t="s">
        <v>79</v>
      </c>
      <c r="C109" s="29"/>
      <c r="D109" s="29"/>
      <c r="E109" s="29"/>
      <c r="F109" s="29"/>
      <c r="G109" s="29"/>
      <c r="H109" s="29"/>
      <c r="I109" s="29"/>
      <c r="J109" s="29"/>
      <c r="K109" s="65">
        <v>0</v>
      </c>
      <c r="L109" s="65"/>
      <c r="M109" s="66"/>
      <c r="N109" s="29"/>
      <c r="O109" s="6"/>
    </row>
    <row r="110" spans="1:15" ht="15.75">
      <c r="A110" s="28"/>
      <c r="B110" s="29" t="s">
        <v>80</v>
      </c>
      <c r="C110" s="29"/>
      <c r="D110" s="29"/>
      <c r="E110" s="29"/>
      <c r="F110" s="29"/>
      <c r="G110" s="29"/>
      <c r="H110" s="29"/>
      <c r="I110" s="29"/>
      <c r="J110" s="29"/>
      <c r="K110" s="65">
        <v>0</v>
      </c>
      <c r="L110" s="65"/>
      <c r="M110" s="66"/>
      <c r="N110" s="29"/>
      <c r="O110" s="6"/>
    </row>
    <row r="111" spans="1:15" ht="15.75">
      <c r="A111" s="28"/>
      <c r="B111" s="29" t="s">
        <v>81</v>
      </c>
      <c r="C111" s="29"/>
      <c r="D111" s="29"/>
      <c r="E111" s="29"/>
      <c r="F111" s="29"/>
      <c r="G111" s="29"/>
      <c r="H111" s="29"/>
      <c r="I111" s="29"/>
      <c r="J111" s="29"/>
      <c r="K111" s="65">
        <v>0</v>
      </c>
      <c r="L111" s="65"/>
      <c r="M111" s="66"/>
      <c r="N111" s="29"/>
      <c r="O111" s="6"/>
    </row>
    <row r="112" spans="1:15" ht="15.75">
      <c r="A112" s="28"/>
      <c r="B112" s="29" t="s">
        <v>82</v>
      </c>
      <c r="C112" s="29"/>
      <c r="D112" s="29"/>
      <c r="E112" s="29"/>
      <c r="F112" s="29"/>
      <c r="G112" s="29"/>
      <c r="H112" s="29"/>
      <c r="I112" s="29"/>
      <c r="J112" s="29"/>
      <c r="K112" s="65">
        <f>SUM(K105:K111)</f>
        <v>-28375</v>
      </c>
      <c r="L112" s="65"/>
      <c r="M112" s="65">
        <f>SUM(M89:M101)</f>
        <v>-6818</v>
      </c>
      <c r="N112" s="29"/>
      <c r="O112" s="6"/>
    </row>
    <row r="113" spans="1:15" ht="15.75">
      <c r="A113" s="28"/>
      <c r="B113" s="29" t="s">
        <v>83</v>
      </c>
      <c r="C113" s="29"/>
      <c r="D113" s="29"/>
      <c r="E113" s="29"/>
      <c r="F113" s="29"/>
      <c r="G113" s="29"/>
      <c r="H113" s="29"/>
      <c r="I113" s="29"/>
      <c r="J113" s="29"/>
      <c r="K113" s="65">
        <f>SUM(K103:K111)+SUM(K98:K99)</f>
        <v>22328</v>
      </c>
      <c r="L113" s="65"/>
      <c r="M113" s="65">
        <f>M88+M112</f>
        <v>0</v>
      </c>
      <c r="N113" s="29"/>
      <c r="O113" s="6"/>
    </row>
    <row r="114" spans="1:15" ht="15.75">
      <c r="A114" s="28"/>
      <c r="B114" s="29"/>
      <c r="C114" s="29"/>
      <c r="D114" s="29"/>
      <c r="E114" s="29"/>
      <c r="F114" s="29"/>
      <c r="G114" s="29"/>
      <c r="H114" s="29"/>
      <c r="I114" s="29"/>
      <c r="J114" s="29"/>
      <c r="K114" s="65"/>
      <c r="L114" s="65"/>
      <c r="M114" s="65"/>
      <c r="N114" s="29"/>
      <c r="O114" s="6"/>
    </row>
    <row r="115" spans="1:15" ht="15.75">
      <c r="A115" s="7"/>
      <c r="B115" s="14"/>
      <c r="C115" s="9"/>
      <c r="D115" s="9"/>
      <c r="E115" s="9"/>
      <c r="F115" s="9"/>
      <c r="G115" s="9"/>
      <c r="H115" s="9"/>
      <c r="I115" s="9"/>
      <c r="J115" s="9"/>
      <c r="K115" s="68"/>
      <c r="L115" s="68"/>
      <c r="M115" s="68"/>
      <c r="N115" s="9"/>
      <c r="O115" s="6"/>
    </row>
    <row r="116" spans="1:15" ht="16.5" thickBot="1">
      <c r="A116" s="134"/>
      <c r="B116" s="135" t="s">
        <v>236</v>
      </c>
      <c r="C116" s="136"/>
      <c r="D116" s="136"/>
      <c r="E116" s="136"/>
      <c r="F116" s="136"/>
      <c r="G116" s="136"/>
      <c r="H116" s="136"/>
      <c r="I116" s="136"/>
      <c r="J116" s="136"/>
      <c r="K116" s="139"/>
      <c r="L116" s="139"/>
      <c r="M116" s="139"/>
      <c r="N116" s="138"/>
      <c r="O116" s="6"/>
    </row>
    <row r="117" spans="1:15" ht="15.75">
      <c r="A117" s="2"/>
      <c r="B117" s="5"/>
      <c r="C117" s="5"/>
      <c r="D117" s="5"/>
      <c r="E117" s="5"/>
      <c r="F117" s="5"/>
      <c r="G117" s="5"/>
      <c r="H117" s="5"/>
      <c r="I117" s="5"/>
      <c r="J117" s="5"/>
      <c r="K117" s="76"/>
      <c r="L117" s="76"/>
      <c r="M117" s="76"/>
      <c r="N117" s="5"/>
      <c r="O117" s="6"/>
    </row>
    <row r="118" spans="1:15" ht="15.75">
      <c r="A118" s="7"/>
      <c r="B118" s="9"/>
      <c r="C118" s="9"/>
      <c r="D118" s="9"/>
      <c r="E118" s="9"/>
      <c r="F118" s="9"/>
      <c r="G118" s="9"/>
      <c r="H118" s="9"/>
      <c r="I118" s="9"/>
      <c r="J118" s="9"/>
      <c r="K118" s="9"/>
      <c r="L118" s="9"/>
      <c r="M118" s="64"/>
      <c r="N118" s="9"/>
      <c r="O118" s="6"/>
    </row>
    <row r="119" spans="1:15" ht="15.75">
      <c r="A119" s="77"/>
      <c r="B119" s="78"/>
      <c r="C119" s="78"/>
      <c r="D119" s="78"/>
      <c r="E119" s="78"/>
      <c r="F119" s="78"/>
      <c r="G119" s="78"/>
      <c r="H119" s="78"/>
      <c r="I119" s="78"/>
      <c r="J119" s="78"/>
      <c r="K119" s="78"/>
      <c r="L119" s="78"/>
      <c r="M119" s="79"/>
      <c r="N119" s="78"/>
      <c r="O119" s="6"/>
    </row>
    <row r="120" spans="1:15" ht="15.75">
      <c r="A120" s="77"/>
      <c r="B120" s="80" t="s">
        <v>84</v>
      </c>
      <c r="C120" s="78"/>
      <c r="D120" s="78"/>
      <c r="E120" s="78"/>
      <c r="F120" s="78"/>
      <c r="G120" s="78"/>
      <c r="H120" s="78"/>
      <c r="I120" s="78"/>
      <c r="J120" s="78"/>
      <c r="K120" s="78"/>
      <c r="L120" s="78"/>
      <c r="M120" s="79"/>
      <c r="N120" s="81"/>
      <c r="O120" s="6"/>
    </row>
    <row r="121" spans="1:15" ht="15.75">
      <c r="A121" s="77"/>
      <c r="B121" s="78"/>
      <c r="C121" s="78"/>
      <c r="D121" s="78"/>
      <c r="E121" s="78"/>
      <c r="F121" s="78"/>
      <c r="G121" s="78"/>
      <c r="H121" s="78"/>
      <c r="I121" s="78"/>
      <c r="J121" s="78"/>
      <c r="K121" s="78"/>
      <c r="L121" s="78"/>
      <c r="M121" s="79"/>
      <c r="N121" s="78"/>
      <c r="O121" s="6"/>
    </row>
    <row r="122" spans="1:15" ht="15.75">
      <c r="A122" s="7"/>
      <c r="B122" s="158" t="s">
        <v>85</v>
      </c>
      <c r="C122" s="15"/>
      <c r="D122" s="15"/>
      <c r="E122" s="9"/>
      <c r="F122" s="9"/>
      <c r="G122" s="9"/>
      <c r="H122" s="9"/>
      <c r="I122" s="9"/>
      <c r="J122" s="9"/>
      <c r="K122" s="9"/>
      <c r="L122" s="9"/>
      <c r="M122" s="64"/>
      <c r="N122" s="9"/>
      <c r="O122" s="6"/>
    </row>
    <row r="123" spans="1:15" ht="15.75">
      <c r="A123" s="28"/>
      <c r="B123" s="29" t="s">
        <v>86</v>
      </c>
      <c r="C123" s="29"/>
      <c r="D123" s="29"/>
      <c r="E123" s="29"/>
      <c r="F123" s="29"/>
      <c r="G123" s="29"/>
      <c r="H123" s="29"/>
      <c r="I123" s="29"/>
      <c r="J123" s="29"/>
      <c r="K123" s="29"/>
      <c r="L123" s="29"/>
      <c r="M123" s="66">
        <v>5852</v>
      </c>
      <c r="N123" s="29"/>
      <c r="O123" s="6"/>
    </row>
    <row r="124" spans="1:15" ht="15.75">
      <c r="A124" s="28"/>
      <c r="B124" s="29" t="s">
        <v>87</v>
      </c>
      <c r="C124" s="29"/>
      <c r="D124" s="29"/>
      <c r="E124" s="29"/>
      <c r="F124" s="29"/>
      <c r="G124" s="29"/>
      <c r="H124" s="29"/>
      <c r="I124" s="29"/>
      <c r="J124" s="29"/>
      <c r="K124" s="29"/>
      <c r="L124" s="29"/>
      <c r="M124" s="66">
        <v>0</v>
      </c>
      <c r="N124" s="29"/>
      <c r="O124" s="6"/>
    </row>
    <row r="125" spans="1:15" ht="15.75">
      <c r="A125" s="28"/>
      <c r="B125" s="29" t="s">
        <v>88</v>
      </c>
      <c r="C125" s="29"/>
      <c r="D125" s="29"/>
      <c r="E125" s="29"/>
      <c r="F125" s="29"/>
      <c r="G125" s="29"/>
      <c r="H125" s="29"/>
      <c r="I125" s="29"/>
      <c r="J125" s="29"/>
      <c r="K125" s="29"/>
      <c r="L125" s="29"/>
      <c r="M125" s="66">
        <v>0</v>
      </c>
      <c r="N125" s="29"/>
      <c r="O125" s="6"/>
    </row>
    <row r="126" spans="1:15" ht="15.75">
      <c r="A126" s="28"/>
      <c r="B126" s="29" t="s">
        <v>89</v>
      </c>
      <c r="C126" s="29"/>
      <c r="D126" s="29"/>
      <c r="E126" s="29"/>
      <c r="F126" s="29"/>
      <c r="G126" s="29"/>
      <c r="H126" s="29"/>
      <c r="I126" s="29"/>
      <c r="J126" s="29"/>
      <c r="K126" s="29"/>
      <c r="L126" s="29"/>
      <c r="M126" s="66">
        <v>0</v>
      </c>
      <c r="N126" s="29"/>
      <c r="O126" s="6"/>
    </row>
    <row r="127" spans="1:15" ht="15.75">
      <c r="A127" s="28"/>
      <c r="B127" s="29" t="s">
        <v>90</v>
      </c>
      <c r="C127" s="29"/>
      <c r="D127" s="29"/>
      <c r="E127" s="29"/>
      <c r="F127" s="29"/>
      <c r="G127" s="29"/>
      <c r="H127" s="29"/>
      <c r="I127" s="29"/>
      <c r="J127" s="29"/>
      <c r="K127" s="29"/>
      <c r="L127" s="29"/>
      <c r="M127" s="66">
        <v>0</v>
      </c>
      <c r="N127" s="29"/>
      <c r="O127" s="6"/>
    </row>
    <row r="128" spans="1:15" ht="15.75">
      <c r="A128" s="28"/>
      <c r="B128" s="29" t="s">
        <v>91</v>
      </c>
      <c r="C128" s="29"/>
      <c r="D128" s="29"/>
      <c r="E128" s="29"/>
      <c r="F128" s="29"/>
      <c r="G128" s="29"/>
      <c r="H128" s="29"/>
      <c r="I128" s="29"/>
      <c r="J128" s="29"/>
      <c r="K128" s="29"/>
      <c r="L128" s="29"/>
      <c r="M128" s="66">
        <v>0</v>
      </c>
      <c r="N128" s="29"/>
      <c r="O128" s="6"/>
    </row>
    <row r="129" spans="1:15" ht="15.75">
      <c r="A129" s="28"/>
      <c r="B129" s="29" t="s">
        <v>66</v>
      </c>
      <c r="C129" s="29"/>
      <c r="D129" s="29"/>
      <c r="E129" s="29"/>
      <c r="F129" s="29"/>
      <c r="G129" s="29"/>
      <c r="H129" s="29"/>
      <c r="I129" s="29"/>
      <c r="J129" s="29"/>
      <c r="K129" s="29"/>
      <c r="L129" s="29"/>
      <c r="M129" s="66">
        <v>0</v>
      </c>
      <c r="N129" s="29"/>
      <c r="O129" s="6"/>
    </row>
    <row r="130" spans="1:15" ht="15.75">
      <c r="A130" s="28"/>
      <c r="B130" s="29" t="s">
        <v>67</v>
      </c>
      <c r="C130" s="29"/>
      <c r="D130" s="29"/>
      <c r="E130" s="29"/>
      <c r="F130" s="29"/>
      <c r="G130" s="29"/>
      <c r="H130" s="29"/>
      <c r="I130" s="29"/>
      <c r="J130" s="29"/>
      <c r="K130" s="29"/>
      <c r="L130" s="29"/>
      <c r="M130" s="66">
        <v>0</v>
      </c>
      <c r="N130" s="29"/>
      <c r="O130" s="6"/>
    </row>
    <row r="131" spans="1:15" ht="15.75">
      <c r="A131" s="28"/>
      <c r="B131" s="29" t="s">
        <v>92</v>
      </c>
      <c r="C131" s="29"/>
      <c r="D131" s="29"/>
      <c r="E131" s="29"/>
      <c r="F131" s="29"/>
      <c r="G131" s="29"/>
      <c r="H131" s="29"/>
      <c r="I131" s="29"/>
      <c r="J131" s="29"/>
      <c r="K131" s="29"/>
      <c r="L131" s="29"/>
      <c r="M131" s="66">
        <f>M123+M126</f>
        <v>5852</v>
      </c>
      <c r="N131" s="29"/>
      <c r="O131" s="6"/>
    </row>
    <row r="132" spans="1:15" ht="15.75">
      <c r="A132" s="28"/>
      <c r="B132" s="29"/>
      <c r="C132" s="29"/>
      <c r="D132" s="29"/>
      <c r="E132" s="29"/>
      <c r="F132" s="29"/>
      <c r="G132" s="29"/>
      <c r="H132" s="29"/>
      <c r="I132" s="29"/>
      <c r="J132" s="29"/>
      <c r="K132" s="29"/>
      <c r="L132" s="29"/>
      <c r="M132" s="82"/>
      <c r="N132" s="29"/>
      <c r="O132" s="6"/>
    </row>
    <row r="133" spans="1:15" ht="15.75">
      <c r="A133" s="7"/>
      <c r="B133" s="158" t="s">
        <v>50</v>
      </c>
      <c r="C133" s="9"/>
      <c r="D133" s="9"/>
      <c r="E133" s="9"/>
      <c r="F133" s="9"/>
      <c r="G133" s="9"/>
      <c r="H133" s="9"/>
      <c r="I133" s="9"/>
      <c r="J133" s="9"/>
      <c r="K133" s="9"/>
      <c r="L133" s="9"/>
      <c r="M133" s="64"/>
      <c r="N133" s="9"/>
      <c r="O133" s="6"/>
    </row>
    <row r="134" spans="1:15" ht="15.75">
      <c r="A134" s="28"/>
      <c r="B134" s="29" t="s">
        <v>93</v>
      </c>
      <c r="C134" s="83"/>
      <c r="D134" s="83"/>
      <c r="E134" s="29"/>
      <c r="F134" s="29"/>
      <c r="G134" s="29"/>
      <c r="H134" s="29"/>
      <c r="I134" s="29"/>
      <c r="J134" s="29"/>
      <c r="K134" s="29"/>
      <c r="L134" s="29"/>
      <c r="M134" s="66">
        <v>2926</v>
      </c>
      <c r="N134" s="29"/>
      <c r="O134" s="6"/>
    </row>
    <row r="135" spans="1:15" ht="15.75">
      <c r="A135" s="28"/>
      <c r="B135" s="29" t="s">
        <v>94</v>
      </c>
      <c r="C135" s="29"/>
      <c r="D135" s="29"/>
      <c r="E135" s="29"/>
      <c r="F135" s="29"/>
      <c r="G135" s="29"/>
      <c r="H135" s="29"/>
      <c r="I135" s="29"/>
      <c r="J135" s="29"/>
      <c r="K135" s="29"/>
      <c r="L135" s="29"/>
      <c r="M135" s="66">
        <v>2926</v>
      </c>
      <c r="N135" s="29"/>
      <c r="O135" s="6"/>
    </row>
    <row r="136" spans="1:15" ht="15.75">
      <c r="A136" s="28"/>
      <c r="B136" s="29" t="s">
        <v>95</v>
      </c>
      <c r="C136" s="29"/>
      <c r="D136" s="29"/>
      <c r="E136" s="29"/>
      <c r="F136" s="29"/>
      <c r="G136" s="29"/>
      <c r="H136" s="29"/>
      <c r="I136" s="29"/>
      <c r="J136" s="29"/>
      <c r="K136" s="29"/>
      <c r="L136" s="29"/>
      <c r="M136" s="66">
        <f>-M99</f>
        <v>0</v>
      </c>
      <c r="N136" s="29"/>
      <c r="O136" s="6"/>
    </row>
    <row r="137" spans="1:15" ht="15.75">
      <c r="A137" s="28"/>
      <c r="B137" s="29" t="s">
        <v>96</v>
      </c>
      <c r="C137" s="29"/>
      <c r="D137" s="29"/>
      <c r="E137" s="29"/>
      <c r="F137" s="29"/>
      <c r="G137" s="29"/>
      <c r="H137" s="29"/>
      <c r="I137" s="29"/>
      <c r="J137" s="29"/>
      <c r="K137" s="29"/>
      <c r="L137" s="29"/>
      <c r="M137" s="66">
        <f>M134-M135-M136</f>
        <v>0</v>
      </c>
      <c r="N137" s="29"/>
      <c r="O137" s="6"/>
    </row>
    <row r="138" spans="1:15" ht="15.75">
      <c r="A138" s="28"/>
      <c r="B138" s="29"/>
      <c r="C138" s="29"/>
      <c r="D138" s="29"/>
      <c r="E138" s="29"/>
      <c r="F138" s="29"/>
      <c r="G138" s="29"/>
      <c r="H138" s="29"/>
      <c r="I138" s="29"/>
      <c r="J138" s="29"/>
      <c r="K138" s="29"/>
      <c r="L138" s="29"/>
      <c r="M138" s="84"/>
      <c r="N138" s="29"/>
      <c r="O138" s="6"/>
    </row>
    <row r="139" spans="1:15" ht="15.75">
      <c r="A139" s="7"/>
      <c r="B139" s="158" t="s">
        <v>97</v>
      </c>
      <c r="C139" s="15"/>
      <c r="D139" s="15"/>
      <c r="E139" s="9"/>
      <c r="F139" s="9"/>
      <c r="G139" s="17" t="s">
        <v>178</v>
      </c>
      <c r="H139" s="17"/>
      <c r="I139" s="17" t="s">
        <v>181</v>
      </c>
      <c r="J139" s="9"/>
      <c r="K139" s="9"/>
      <c r="L139" s="9"/>
      <c r="M139" s="85"/>
      <c r="N139" s="9"/>
      <c r="O139" s="6"/>
    </row>
    <row r="140" spans="1:15" ht="15.75">
      <c r="A140" s="7"/>
      <c r="B140" s="15"/>
      <c r="C140" s="15"/>
      <c r="D140" s="15"/>
      <c r="E140" s="9"/>
      <c r="F140" s="9"/>
      <c r="G140" s="9"/>
      <c r="H140" s="9"/>
      <c r="I140" s="9"/>
      <c r="J140" s="9"/>
      <c r="K140" s="9"/>
      <c r="L140" s="9"/>
      <c r="M140" s="85"/>
      <c r="N140" s="9"/>
      <c r="O140" s="6"/>
    </row>
    <row r="141" spans="1:15" ht="15.75">
      <c r="A141" s="28"/>
      <c r="B141" s="29" t="s">
        <v>98</v>
      </c>
      <c r="C141" s="29"/>
      <c r="D141" s="29"/>
      <c r="E141" s="29"/>
      <c r="F141" s="29"/>
      <c r="G141" s="29">
        <v>0</v>
      </c>
      <c r="H141" s="29"/>
      <c r="I141" s="29">
        <v>0</v>
      </c>
      <c r="J141" s="29"/>
      <c r="K141" s="29"/>
      <c r="L141" s="29"/>
      <c r="M141" s="66">
        <v>0</v>
      </c>
      <c r="N141" s="29"/>
      <c r="O141" s="6"/>
    </row>
    <row r="142" spans="1:15" ht="15.75">
      <c r="A142" s="28"/>
      <c r="B142" s="29" t="s">
        <v>99</v>
      </c>
      <c r="C142" s="29"/>
      <c r="D142" s="29"/>
      <c r="E142" s="29"/>
      <c r="F142" s="29"/>
      <c r="G142" s="29">
        <v>137</v>
      </c>
      <c r="H142" s="29"/>
      <c r="I142" s="29">
        <v>476</v>
      </c>
      <c r="J142" s="29"/>
      <c r="K142" s="29"/>
      <c r="L142" s="29"/>
      <c r="M142" s="66">
        <f>SUM(G142:I142)</f>
        <v>613</v>
      </c>
      <c r="N142" s="29"/>
      <c r="O142" s="6"/>
    </row>
    <row r="143" spans="1:15" ht="15.75">
      <c r="A143" s="28"/>
      <c r="B143" s="29" t="s">
        <v>100</v>
      </c>
      <c r="C143" s="29"/>
      <c r="D143" s="29"/>
      <c r="E143" s="29"/>
      <c r="F143" s="29"/>
      <c r="G143" s="29"/>
      <c r="H143" s="29"/>
      <c r="I143" s="86"/>
      <c r="J143" s="29"/>
      <c r="K143" s="29"/>
      <c r="L143" s="29"/>
      <c r="M143" s="66">
        <f>M98</f>
        <v>-613</v>
      </c>
      <c r="N143" s="29"/>
      <c r="O143" s="6"/>
    </row>
    <row r="144" spans="1:15" ht="15.75">
      <c r="A144" s="28"/>
      <c r="B144" s="29" t="s">
        <v>101</v>
      </c>
      <c r="C144" s="29"/>
      <c r="D144" s="29"/>
      <c r="E144" s="29"/>
      <c r="F144" s="29"/>
      <c r="G144" s="29"/>
      <c r="H144" s="29"/>
      <c r="I144" s="29"/>
      <c r="J144" s="29"/>
      <c r="K144" s="29"/>
      <c r="L144" s="29"/>
      <c r="M144" s="66">
        <f>M143+M142</f>
        <v>0</v>
      </c>
      <c r="N144" s="29"/>
      <c r="O144" s="6"/>
    </row>
    <row r="145" spans="1:15" ht="15.75">
      <c r="A145" s="28"/>
      <c r="B145" s="29"/>
      <c r="C145" s="29"/>
      <c r="D145" s="29"/>
      <c r="E145" s="29"/>
      <c r="F145" s="29"/>
      <c r="G145" s="29"/>
      <c r="H145" s="29"/>
      <c r="I145" s="29"/>
      <c r="J145" s="29"/>
      <c r="K145" s="29"/>
      <c r="L145" s="29"/>
      <c r="M145" s="82"/>
      <c r="N145" s="29"/>
      <c r="O145" s="6"/>
    </row>
    <row r="146" spans="1:15" ht="15.75">
      <c r="A146" s="7"/>
      <c r="B146" s="9"/>
      <c r="C146" s="9"/>
      <c r="D146" s="9"/>
      <c r="E146" s="9"/>
      <c r="F146" s="9"/>
      <c r="G146" s="9"/>
      <c r="H146" s="9"/>
      <c r="I146" s="9"/>
      <c r="J146" s="9"/>
      <c r="K146" s="9"/>
      <c r="L146" s="9"/>
      <c r="M146" s="64"/>
      <c r="N146" s="9"/>
      <c r="O146" s="6"/>
    </row>
    <row r="147" spans="1:15" ht="15.75">
      <c r="A147" s="7"/>
      <c r="B147" s="158" t="s">
        <v>102</v>
      </c>
      <c r="C147" s="15"/>
      <c r="D147" s="15"/>
      <c r="E147" s="9"/>
      <c r="F147" s="9"/>
      <c r="G147" s="9"/>
      <c r="H147" s="9"/>
      <c r="I147" s="9"/>
      <c r="J147" s="9"/>
      <c r="K147" s="9"/>
      <c r="L147" s="9"/>
      <c r="M147" s="64"/>
      <c r="N147" s="9"/>
      <c r="O147" s="6"/>
    </row>
    <row r="148" spans="1:15" ht="15.75">
      <c r="A148" s="28"/>
      <c r="B148" s="29" t="s">
        <v>103</v>
      </c>
      <c r="C148" s="87"/>
      <c r="D148" s="87"/>
      <c r="E148" s="29"/>
      <c r="F148" s="29"/>
      <c r="G148" s="29"/>
      <c r="H148" s="29"/>
      <c r="I148" s="29"/>
      <c r="J148" s="29"/>
      <c r="K148" s="29"/>
      <c r="L148" s="29"/>
      <c r="M148" s="66">
        <f>M68+M61</f>
        <v>170912</v>
      </c>
      <c r="N148" s="29"/>
      <c r="O148" s="6"/>
    </row>
    <row r="149" spans="1:15" ht="15.75">
      <c r="A149" s="28"/>
      <c r="B149" s="29" t="s">
        <v>104</v>
      </c>
      <c r="C149" s="87"/>
      <c r="D149" s="87"/>
      <c r="E149" s="29"/>
      <c r="F149" s="29"/>
      <c r="G149" s="29"/>
      <c r="H149" s="29"/>
      <c r="I149" s="29"/>
      <c r="J149" s="29"/>
      <c r="K149" s="29"/>
      <c r="L149" s="29"/>
      <c r="M149" s="66">
        <f>M72</f>
        <v>21715</v>
      </c>
      <c r="N149" s="29"/>
      <c r="O149" s="6"/>
    </row>
    <row r="150" spans="1:15" ht="15.75">
      <c r="A150" s="28"/>
      <c r="B150" s="29" t="s">
        <v>50</v>
      </c>
      <c r="C150" s="87"/>
      <c r="D150" s="87"/>
      <c r="E150" s="29"/>
      <c r="F150" s="29"/>
      <c r="G150" s="29"/>
      <c r="H150" s="29"/>
      <c r="I150" s="29"/>
      <c r="J150" s="29"/>
      <c r="K150" s="29"/>
      <c r="L150" s="29"/>
      <c r="M150" s="66">
        <f>M71</f>
        <v>2926</v>
      </c>
      <c r="N150" s="29"/>
      <c r="O150" s="6"/>
    </row>
    <row r="151" spans="1:15" ht="15.75">
      <c r="A151" s="28"/>
      <c r="B151" s="29" t="s">
        <v>105</v>
      </c>
      <c r="C151" s="87"/>
      <c r="D151" s="87"/>
      <c r="E151" s="29"/>
      <c r="F151" s="29"/>
      <c r="G151" s="29"/>
      <c r="H151" s="29"/>
      <c r="I151" s="29"/>
      <c r="J151" s="29"/>
      <c r="K151" s="29"/>
      <c r="L151" s="29"/>
      <c r="M151" s="66">
        <f>M74</f>
        <v>-95</v>
      </c>
      <c r="N151" s="29"/>
      <c r="O151" s="6"/>
    </row>
    <row r="152" spans="1:15" ht="15.75">
      <c r="A152" s="28"/>
      <c r="B152" s="29" t="s">
        <v>106</v>
      </c>
      <c r="C152" s="87"/>
      <c r="D152" s="87"/>
      <c r="E152" s="29"/>
      <c r="F152" s="29"/>
      <c r="G152" s="29"/>
      <c r="H152" s="29"/>
      <c r="I152" s="29"/>
      <c r="J152" s="29"/>
      <c r="K152" s="29"/>
      <c r="L152" s="29"/>
      <c r="M152" s="66">
        <f>M73</f>
        <v>2466</v>
      </c>
      <c r="N152" s="29"/>
      <c r="O152" s="6"/>
    </row>
    <row r="153" spans="1:15" ht="15.75">
      <c r="A153" s="28"/>
      <c r="B153" s="29" t="s">
        <v>107</v>
      </c>
      <c r="C153" s="87"/>
      <c r="D153" s="87"/>
      <c r="E153" s="29"/>
      <c r="F153" s="29"/>
      <c r="G153" s="29"/>
      <c r="H153" s="29"/>
      <c r="I153" s="29"/>
      <c r="J153" s="29"/>
      <c r="K153" s="29"/>
      <c r="L153" s="29"/>
      <c r="M153" s="66">
        <f>SUM(M148:M152)</f>
        <v>197924</v>
      </c>
      <c r="N153" s="29"/>
      <c r="O153" s="6"/>
    </row>
    <row r="154" spans="1:16" ht="15.75">
      <c r="A154" s="28"/>
      <c r="B154" s="29" t="s">
        <v>108</v>
      </c>
      <c r="C154" s="87"/>
      <c r="D154" s="87"/>
      <c r="E154" s="29"/>
      <c r="F154" s="29"/>
      <c r="G154" s="29"/>
      <c r="H154" s="29"/>
      <c r="I154" s="29"/>
      <c r="J154" s="29"/>
      <c r="K154" s="29"/>
      <c r="L154" s="29"/>
      <c r="M154" s="66">
        <f>M30</f>
        <v>194998</v>
      </c>
      <c r="N154" s="29"/>
      <c r="O154" s="6"/>
      <c r="P154" s="132"/>
    </row>
    <row r="155" spans="1:15" ht="15.75">
      <c r="A155" s="28"/>
      <c r="B155" s="29"/>
      <c r="C155" s="29"/>
      <c r="D155" s="29"/>
      <c r="E155" s="29"/>
      <c r="F155" s="29"/>
      <c r="G155" s="29"/>
      <c r="H155" s="29"/>
      <c r="I155" s="29"/>
      <c r="J155" s="29"/>
      <c r="K155" s="29"/>
      <c r="L155" s="29"/>
      <c r="M155" s="82"/>
      <c r="N155" s="29"/>
      <c r="O155" s="6"/>
    </row>
    <row r="156" spans="1:15" ht="15.75">
      <c r="A156" s="7"/>
      <c r="B156" s="9"/>
      <c r="C156" s="9"/>
      <c r="D156" s="9"/>
      <c r="E156" s="9"/>
      <c r="F156" s="9"/>
      <c r="G156" s="9"/>
      <c r="H156" s="9"/>
      <c r="I156" s="25"/>
      <c r="J156" s="9"/>
      <c r="K156" s="25"/>
      <c r="L156" s="9"/>
      <c r="M156" s="64"/>
      <c r="N156" s="9"/>
      <c r="O156" s="6"/>
    </row>
    <row r="157" spans="1:15" ht="15.75">
      <c r="A157" s="7"/>
      <c r="B157" s="158" t="s">
        <v>109</v>
      </c>
      <c r="C157" s="144"/>
      <c r="D157" s="144"/>
      <c r="E157" s="144"/>
      <c r="F157" s="144"/>
      <c r="G157" s="144"/>
      <c r="H157" s="144"/>
      <c r="I157" s="159" t="s">
        <v>205</v>
      </c>
      <c r="J157" s="159"/>
      <c r="K157" s="159" t="s">
        <v>210</v>
      </c>
      <c r="L157" s="144"/>
      <c r="M157" s="160" t="s">
        <v>192</v>
      </c>
      <c r="N157" s="161"/>
      <c r="O157" s="6"/>
    </row>
    <row r="158" spans="1:15" ht="15.75">
      <c r="A158" s="28"/>
      <c r="B158" s="29" t="s">
        <v>110</v>
      </c>
      <c r="C158" s="29"/>
      <c r="D158" s="29"/>
      <c r="E158" s="29"/>
      <c r="F158" s="29"/>
      <c r="G158" s="29"/>
      <c r="H158" s="29"/>
      <c r="I158" s="66"/>
      <c r="J158" s="29"/>
      <c r="K158" s="53"/>
      <c r="L158" s="29"/>
      <c r="M158" s="66"/>
      <c r="N158" s="29"/>
      <c r="O158" s="6"/>
    </row>
    <row r="159" spans="1:15" ht="15.75">
      <c r="A159" s="28"/>
      <c r="B159" s="29" t="s">
        <v>111</v>
      </c>
      <c r="C159" s="29"/>
      <c r="D159" s="29"/>
      <c r="E159" s="29"/>
      <c r="F159" s="29"/>
      <c r="G159" s="29"/>
      <c r="H159" s="29"/>
      <c r="I159" s="66"/>
      <c r="J159" s="29"/>
      <c r="K159" s="29"/>
      <c r="L159" s="29"/>
      <c r="M159" s="66" t="s">
        <v>224</v>
      </c>
      <c r="N159" s="29"/>
      <c r="O159" s="6"/>
    </row>
    <row r="160" spans="1:15" ht="15.75">
      <c r="A160" s="28"/>
      <c r="B160" s="29" t="s">
        <v>112</v>
      </c>
      <c r="C160" s="29"/>
      <c r="D160" s="29"/>
      <c r="E160" s="29"/>
      <c r="F160" s="29"/>
      <c r="G160" s="29"/>
      <c r="H160" s="29"/>
      <c r="I160" s="66"/>
      <c r="J160" s="29"/>
      <c r="K160" s="29"/>
      <c r="L160" s="29"/>
      <c r="M160" s="66" t="s">
        <v>224</v>
      </c>
      <c r="N160" s="29"/>
      <c r="O160" s="6"/>
    </row>
    <row r="161" spans="1:15" ht="15.75">
      <c r="A161" s="28"/>
      <c r="B161" s="29" t="s">
        <v>113</v>
      </c>
      <c r="C161" s="29"/>
      <c r="D161" s="29"/>
      <c r="E161" s="29"/>
      <c r="F161" s="29"/>
      <c r="G161" s="29"/>
      <c r="H161" s="29"/>
      <c r="I161" s="66"/>
      <c r="J161" s="29"/>
      <c r="K161" s="66"/>
      <c r="L161" s="29"/>
      <c r="M161" s="66" t="s">
        <v>224</v>
      </c>
      <c r="N161" s="29"/>
      <c r="O161" s="6"/>
    </row>
    <row r="162" spans="1:15" ht="15.75">
      <c r="A162" s="28"/>
      <c r="B162" s="29" t="s">
        <v>114</v>
      </c>
      <c r="C162" s="29"/>
      <c r="D162" s="29"/>
      <c r="E162" s="29"/>
      <c r="F162" s="29"/>
      <c r="G162" s="29"/>
      <c r="H162" s="29"/>
      <c r="I162" s="66"/>
      <c r="J162" s="29"/>
      <c r="K162" s="53"/>
      <c r="L162" s="29"/>
      <c r="M162" s="66"/>
      <c r="N162" s="29"/>
      <c r="O162" s="6"/>
    </row>
    <row r="163" spans="1:15" ht="15.75">
      <c r="A163" s="28"/>
      <c r="B163" s="29"/>
      <c r="C163" s="29"/>
      <c r="D163" s="29"/>
      <c r="E163" s="29"/>
      <c r="F163" s="29"/>
      <c r="G163" s="29"/>
      <c r="H163" s="29"/>
      <c r="I163" s="29"/>
      <c r="J163" s="29"/>
      <c r="K163" s="29"/>
      <c r="L163" s="29"/>
      <c r="M163" s="82"/>
      <c r="N163" s="29"/>
      <c r="O163" s="6"/>
    </row>
    <row r="164" spans="1:15" ht="15.75">
      <c r="A164" s="7"/>
      <c r="B164" s="9"/>
      <c r="C164" s="9"/>
      <c r="D164" s="9"/>
      <c r="E164" s="9"/>
      <c r="F164" s="9"/>
      <c r="G164" s="9"/>
      <c r="H164" s="9"/>
      <c r="I164" s="9"/>
      <c r="J164" s="9"/>
      <c r="K164" s="9"/>
      <c r="L164" s="9"/>
      <c r="M164" s="64"/>
      <c r="N164" s="9"/>
      <c r="O164" s="6"/>
    </row>
    <row r="165" spans="1:15" ht="15.75">
      <c r="A165" s="7"/>
      <c r="B165" s="158" t="s">
        <v>115</v>
      </c>
      <c r="C165" s="15"/>
      <c r="D165" s="15"/>
      <c r="E165" s="9"/>
      <c r="F165" s="9"/>
      <c r="G165" s="9"/>
      <c r="H165" s="9"/>
      <c r="I165" s="9"/>
      <c r="J165" s="9"/>
      <c r="K165" s="9"/>
      <c r="L165" s="9"/>
      <c r="M165" s="88"/>
      <c r="N165" s="9"/>
      <c r="O165" s="6"/>
    </row>
    <row r="166" spans="1:15" ht="15.75">
      <c r="A166" s="28"/>
      <c r="B166" s="29" t="s">
        <v>116</v>
      </c>
      <c r="C166" s="29"/>
      <c r="D166" s="29"/>
      <c r="E166" s="29"/>
      <c r="F166" s="29"/>
      <c r="G166" s="29"/>
      <c r="H166" s="29"/>
      <c r="I166" s="29"/>
      <c r="J166" s="29"/>
      <c r="K166" s="29"/>
      <c r="L166" s="29"/>
      <c r="M166" s="73">
        <f>(M88+M90+M91+M93)/-M92</f>
        <v>3.2512980269989615</v>
      </c>
      <c r="N166" s="29" t="s">
        <v>225</v>
      </c>
      <c r="O166" s="6"/>
    </row>
    <row r="167" spans="1:15" ht="15.75">
      <c r="A167" s="28"/>
      <c r="B167" s="29" t="s">
        <v>117</v>
      </c>
      <c r="C167" s="29"/>
      <c r="D167" s="29"/>
      <c r="E167" s="29"/>
      <c r="F167" s="29"/>
      <c r="G167" s="29"/>
      <c r="H167" s="29"/>
      <c r="I167" s="29"/>
      <c r="J167" s="29"/>
      <c r="K167" s="29"/>
      <c r="L167" s="29"/>
      <c r="M167" s="89">
        <v>2.71</v>
      </c>
      <c r="N167" s="29" t="s">
        <v>225</v>
      </c>
      <c r="O167" s="6"/>
    </row>
    <row r="168" spans="1:15" ht="15.75">
      <c r="A168" s="28"/>
      <c r="B168" s="29" t="s">
        <v>118</v>
      </c>
      <c r="C168" s="29"/>
      <c r="D168" s="29"/>
      <c r="E168" s="29"/>
      <c r="F168" s="29"/>
      <c r="G168" s="29"/>
      <c r="H168" s="29"/>
      <c r="I168" s="29"/>
      <c r="J168" s="29"/>
      <c r="K168" s="29"/>
      <c r="L168" s="29"/>
      <c r="M168" s="73">
        <f>(M88+M90+M91+M92+M93+M94)/-M95</f>
        <v>20.92270531400966</v>
      </c>
      <c r="N168" s="29" t="s">
        <v>225</v>
      </c>
      <c r="O168" s="6"/>
    </row>
    <row r="169" spans="1:15" ht="15.75">
      <c r="A169" s="28"/>
      <c r="B169" s="29" t="s">
        <v>119</v>
      </c>
      <c r="C169" s="29"/>
      <c r="D169" s="29"/>
      <c r="E169" s="29"/>
      <c r="F169" s="29"/>
      <c r="G169" s="29"/>
      <c r="H169" s="29"/>
      <c r="I169" s="29"/>
      <c r="J169" s="29"/>
      <c r="K169" s="29"/>
      <c r="L169" s="29"/>
      <c r="M169" s="90">
        <v>16.09</v>
      </c>
      <c r="N169" s="29" t="s">
        <v>225</v>
      </c>
      <c r="O169" s="6"/>
    </row>
    <row r="170" spans="1:15" ht="15.75">
      <c r="A170" s="28"/>
      <c r="B170" s="29" t="s">
        <v>120</v>
      </c>
      <c r="C170" s="29"/>
      <c r="D170" s="29"/>
      <c r="E170" s="29"/>
      <c r="F170" s="29"/>
      <c r="G170" s="29"/>
      <c r="H170" s="29"/>
      <c r="I170" s="29"/>
      <c r="J170" s="29"/>
      <c r="K170" s="29"/>
      <c r="L170" s="29"/>
      <c r="M170" s="73">
        <f>(M88+M90+M91+M92+M93+M94+M95)/-M96</f>
        <v>28.246575342465754</v>
      </c>
      <c r="N170" s="29" t="s">
        <v>225</v>
      </c>
      <c r="O170" s="6"/>
    </row>
    <row r="171" spans="1:15" ht="15.75">
      <c r="A171" s="28"/>
      <c r="B171" s="29" t="s">
        <v>121</v>
      </c>
      <c r="C171" s="29"/>
      <c r="D171" s="29"/>
      <c r="E171" s="29"/>
      <c r="F171" s="29"/>
      <c r="G171" s="29"/>
      <c r="H171" s="29"/>
      <c r="I171" s="29"/>
      <c r="J171" s="29"/>
      <c r="K171" s="29"/>
      <c r="L171" s="29"/>
      <c r="M171" s="89">
        <v>21.82</v>
      </c>
      <c r="N171" s="29" t="s">
        <v>225</v>
      </c>
      <c r="O171" s="6"/>
    </row>
    <row r="172" spans="1:15" ht="15.75">
      <c r="A172" s="28"/>
      <c r="B172" s="29"/>
      <c r="C172" s="29"/>
      <c r="D172" s="29"/>
      <c r="E172" s="29"/>
      <c r="F172" s="29"/>
      <c r="G172" s="29"/>
      <c r="H172" s="29"/>
      <c r="I172" s="29"/>
      <c r="J172" s="29"/>
      <c r="K172" s="29"/>
      <c r="L172" s="29"/>
      <c r="M172" s="29"/>
      <c r="N172" s="29"/>
      <c r="O172" s="6"/>
    </row>
    <row r="173" spans="1:15" ht="15.75">
      <c r="A173" s="7"/>
      <c r="B173" s="9"/>
      <c r="C173" s="9"/>
      <c r="D173" s="9"/>
      <c r="E173" s="9"/>
      <c r="F173" s="9"/>
      <c r="G173" s="9"/>
      <c r="H173" s="9"/>
      <c r="I173" s="9"/>
      <c r="J173" s="9"/>
      <c r="K173" s="9"/>
      <c r="L173" s="9"/>
      <c r="M173" s="9"/>
      <c r="N173" s="9"/>
      <c r="O173" s="6"/>
    </row>
    <row r="174" spans="1:15" ht="16.5" thickBot="1">
      <c r="A174" s="134"/>
      <c r="B174" s="135" t="s">
        <v>236</v>
      </c>
      <c r="C174" s="136"/>
      <c r="D174" s="136"/>
      <c r="E174" s="136"/>
      <c r="F174" s="136"/>
      <c r="G174" s="136"/>
      <c r="H174" s="136"/>
      <c r="I174" s="136"/>
      <c r="J174" s="136"/>
      <c r="K174" s="136"/>
      <c r="L174" s="136"/>
      <c r="M174" s="136"/>
      <c r="N174" s="138"/>
      <c r="O174" s="6"/>
    </row>
    <row r="175" spans="1:15" ht="15.75">
      <c r="A175" s="2"/>
      <c r="B175" s="91"/>
      <c r="C175" s="91"/>
      <c r="D175" s="91"/>
      <c r="E175" s="91"/>
      <c r="F175" s="91"/>
      <c r="G175" s="91"/>
      <c r="H175" s="91"/>
      <c r="I175" s="91"/>
      <c r="J175" s="91"/>
      <c r="K175" s="91"/>
      <c r="L175" s="91"/>
      <c r="M175" s="91"/>
      <c r="N175" s="91"/>
      <c r="O175" s="6"/>
    </row>
    <row r="176" spans="1:15" ht="15.75">
      <c r="A176" s="92"/>
      <c r="B176" s="63" t="s">
        <v>122</v>
      </c>
      <c r="C176" s="93"/>
      <c r="D176" s="93"/>
      <c r="E176" s="93" t="s">
        <v>178</v>
      </c>
      <c r="F176" s="93"/>
      <c r="G176" s="94" t="s">
        <v>181</v>
      </c>
      <c r="H176" s="94"/>
      <c r="I176" s="94"/>
      <c r="J176" s="22"/>
      <c r="K176" s="22">
        <v>37468</v>
      </c>
      <c r="L176" s="18"/>
      <c r="M176" s="18"/>
      <c r="N176" s="9"/>
      <c r="O176" s="6"/>
    </row>
    <row r="177" spans="1:15" ht="15.75">
      <c r="A177" s="95"/>
      <c r="B177" s="74" t="s">
        <v>123</v>
      </c>
      <c r="C177" s="96"/>
      <c r="D177" s="96"/>
      <c r="E177" s="97">
        <v>0.12505</v>
      </c>
      <c r="F177" s="96"/>
      <c r="G177" s="97">
        <v>0.13752</v>
      </c>
      <c r="H177" s="86"/>
      <c r="I177" s="86"/>
      <c r="J177" s="86"/>
      <c r="K177" s="97">
        <v>0.13157</v>
      </c>
      <c r="L177" s="29"/>
      <c r="M177" s="29"/>
      <c r="N177" s="29"/>
      <c r="O177" s="6"/>
    </row>
    <row r="178" spans="1:15" ht="15.75">
      <c r="A178" s="95"/>
      <c r="B178" s="74" t="s">
        <v>124</v>
      </c>
      <c r="C178" s="96"/>
      <c r="D178" s="96"/>
      <c r="E178" s="97"/>
      <c r="F178" s="96"/>
      <c r="G178" s="97"/>
      <c r="H178" s="86"/>
      <c r="I178" s="86"/>
      <c r="J178" s="86"/>
      <c r="K178" s="97">
        <v>0.0654</v>
      </c>
      <c r="L178" s="97"/>
      <c r="M178" s="29"/>
      <c r="N178" s="29"/>
      <c r="O178" s="6"/>
    </row>
    <row r="179" spans="1:15" ht="15.75">
      <c r="A179" s="95"/>
      <c r="B179" s="74" t="s">
        <v>125</v>
      </c>
      <c r="C179" s="96"/>
      <c r="D179" s="96"/>
      <c r="E179" s="96"/>
      <c r="F179" s="96"/>
      <c r="G179" s="96"/>
      <c r="H179" s="86"/>
      <c r="I179" s="86"/>
      <c r="J179" s="86"/>
      <c r="K179" s="97">
        <f>K177-K178</f>
        <v>0.06616999999999999</v>
      </c>
      <c r="L179" s="29"/>
      <c r="M179" s="29"/>
      <c r="N179" s="29"/>
      <c r="O179" s="6"/>
    </row>
    <row r="180" spans="1:15" ht="15.75">
      <c r="A180" s="95"/>
      <c r="B180" s="74" t="s">
        <v>126</v>
      </c>
      <c r="C180" s="96"/>
      <c r="D180" s="96"/>
      <c r="E180" s="98">
        <v>0.1115</v>
      </c>
      <c r="F180" s="98"/>
      <c r="G180" s="98">
        <v>0.1243</v>
      </c>
      <c r="H180" s="86"/>
      <c r="I180" s="86"/>
      <c r="J180" s="86"/>
      <c r="K180" s="97">
        <v>0.11836</v>
      </c>
      <c r="L180" s="29"/>
      <c r="M180" s="29"/>
      <c r="N180" s="29"/>
      <c r="O180" s="6"/>
    </row>
    <row r="181" spans="1:15" ht="15.75">
      <c r="A181" s="95"/>
      <c r="B181" s="74" t="s">
        <v>127</v>
      </c>
      <c r="C181" s="96"/>
      <c r="D181" s="96"/>
      <c r="E181" s="96"/>
      <c r="F181" s="96"/>
      <c r="G181" s="96"/>
      <c r="H181" s="86"/>
      <c r="I181" s="86"/>
      <c r="J181" s="86"/>
      <c r="K181" s="97">
        <f>M32</f>
        <v>0.04637386998841013</v>
      </c>
      <c r="L181" s="29"/>
      <c r="M181" s="29"/>
      <c r="N181" s="29"/>
      <c r="O181" s="6"/>
    </row>
    <row r="182" spans="1:15" ht="15.75">
      <c r="A182" s="95"/>
      <c r="B182" s="74" t="s">
        <v>128</v>
      </c>
      <c r="C182" s="96"/>
      <c r="D182" s="96"/>
      <c r="E182" s="96"/>
      <c r="F182" s="96"/>
      <c r="G182" s="96"/>
      <c r="H182" s="86"/>
      <c r="I182" s="86"/>
      <c r="J182" s="86"/>
      <c r="K182" s="97">
        <f>K180-K181</f>
        <v>0.07198613001158988</v>
      </c>
      <c r="L182" s="29"/>
      <c r="M182" s="29"/>
      <c r="N182" s="29"/>
      <c r="O182" s="6"/>
    </row>
    <row r="183" spans="1:15" ht="15.75">
      <c r="A183" s="95"/>
      <c r="B183" s="74" t="s">
        <v>129</v>
      </c>
      <c r="C183" s="96"/>
      <c r="D183" s="96"/>
      <c r="E183" s="96"/>
      <c r="F183" s="96"/>
      <c r="G183" s="96"/>
      <c r="H183" s="86"/>
      <c r="I183" s="86"/>
      <c r="J183" s="86"/>
      <c r="K183" s="97" t="s">
        <v>211</v>
      </c>
      <c r="L183" s="29"/>
      <c r="M183" s="29"/>
      <c r="N183" s="29"/>
      <c r="O183" s="6"/>
    </row>
    <row r="184" spans="1:15" ht="15.75">
      <c r="A184" s="95"/>
      <c r="B184" s="74" t="s">
        <v>130</v>
      </c>
      <c r="C184" s="96"/>
      <c r="D184" s="96"/>
      <c r="E184" s="96"/>
      <c r="F184" s="96"/>
      <c r="G184" s="96"/>
      <c r="H184" s="86"/>
      <c r="I184" s="86"/>
      <c r="J184" s="86"/>
      <c r="K184" s="97" t="s">
        <v>212</v>
      </c>
      <c r="L184" s="29"/>
      <c r="M184" s="29"/>
      <c r="N184" s="29"/>
      <c r="O184" s="6"/>
    </row>
    <row r="185" spans="1:15" ht="15.75">
      <c r="A185" s="95"/>
      <c r="B185" s="74" t="s">
        <v>131</v>
      </c>
      <c r="C185" s="96"/>
      <c r="D185" s="96"/>
      <c r="E185" s="99">
        <v>9.94</v>
      </c>
      <c r="F185" s="96"/>
      <c r="G185" s="99">
        <v>3.91</v>
      </c>
      <c r="H185" s="86"/>
      <c r="I185" s="86"/>
      <c r="J185" s="86"/>
      <c r="K185" s="100">
        <v>6.791</v>
      </c>
      <c r="L185" s="29"/>
      <c r="M185" s="29"/>
      <c r="N185" s="29"/>
      <c r="O185" s="6"/>
    </row>
    <row r="186" spans="1:15" ht="15.75">
      <c r="A186" s="95"/>
      <c r="B186" s="74" t="s">
        <v>132</v>
      </c>
      <c r="C186" s="96"/>
      <c r="D186" s="96"/>
      <c r="E186" s="101">
        <v>10.657</v>
      </c>
      <c r="F186" s="99"/>
      <c r="G186" s="99">
        <v>3.13</v>
      </c>
      <c r="H186" s="86"/>
      <c r="I186" s="86"/>
      <c r="J186" s="86"/>
      <c r="K186" s="100">
        <v>6.626</v>
      </c>
      <c r="L186" s="29"/>
      <c r="M186" s="29"/>
      <c r="N186" s="29"/>
      <c r="O186" s="6"/>
    </row>
    <row r="187" spans="1:15" ht="15.75">
      <c r="A187" s="95"/>
      <c r="B187" s="74" t="s">
        <v>231</v>
      </c>
      <c r="C187" s="96"/>
      <c r="D187" s="96"/>
      <c r="E187" s="101"/>
      <c r="F187" s="99"/>
      <c r="G187" s="99"/>
      <c r="H187" s="86"/>
      <c r="I187" s="86"/>
      <c r="J187" s="86"/>
      <c r="K187" s="97">
        <v>0.0531</v>
      </c>
      <c r="L187" s="29"/>
      <c r="M187" s="29"/>
      <c r="N187" s="29"/>
      <c r="O187" s="6"/>
    </row>
    <row r="188" spans="1:15" ht="15.75">
      <c r="A188" s="95"/>
      <c r="B188" s="74" t="s">
        <v>232</v>
      </c>
      <c r="C188" s="96"/>
      <c r="D188" s="96"/>
      <c r="E188" s="101"/>
      <c r="F188" s="99"/>
      <c r="G188" s="99"/>
      <c r="H188" s="86"/>
      <c r="I188" s="86"/>
      <c r="J188" s="86"/>
      <c r="K188" s="97">
        <v>0.1855</v>
      </c>
      <c r="L188" s="29"/>
      <c r="M188" s="29"/>
      <c r="N188" s="29"/>
      <c r="O188" s="6"/>
    </row>
    <row r="189" spans="1:15" ht="15.75">
      <c r="A189" s="95"/>
      <c r="B189" s="74" t="s">
        <v>233</v>
      </c>
      <c r="C189" s="96"/>
      <c r="D189" s="96"/>
      <c r="E189" s="101"/>
      <c r="F189" s="99"/>
      <c r="G189" s="99"/>
      <c r="H189" s="86"/>
      <c r="I189" s="86"/>
      <c r="J189" s="86"/>
      <c r="K189" s="97">
        <v>0.0953</v>
      </c>
      <c r="L189" s="29"/>
      <c r="M189" s="29"/>
      <c r="N189" s="29"/>
      <c r="O189" s="6"/>
    </row>
    <row r="190" spans="1:15" ht="15.75">
      <c r="A190" s="95"/>
      <c r="B190" s="74" t="s">
        <v>234</v>
      </c>
      <c r="C190" s="96"/>
      <c r="D190" s="96"/>
      <c r="E190" s="101"/>
      <c r="F190" s="99"/>
      <c r="G190" s="99"/>
      <c r="H190" s="86"/>
      <c r="I190" s="86"/>
      <c r="J190" s="86"/>
      <c r="K190" s="97">
        <v>0.299</v>
      </c>
      <c r="L190" s="29"/>
      <c r="M190" s="29"/>
      <c r="N190" s="29"/>
      <c r="O190" s="6"/>
    </row>
    <row r="191" spans="1:15" ht="15.75">
      <c r="A191" s="95"/>
      <c r="B191" s="74"/>
      <c r="C191" s="74"/>
      <c r="D191" s="74"/>
      <c r="E191" s="74"/>
      <c r="F191" s="74"/>
      <c r="G191" s="74"/>
      <c r="H191" s="29"/>
      <c r="I191" s="29"/>
      <c r="J191" s="37"/>
      <c r="K191" s="102"/>
      <c r="L191" s="29"/>
      <c r="M191" s="103"/>
      <c r="N191" s="29"/>
      <c r="O191" s="6"/>
    </row>
    <row r="192" spans="1:15" ht="15.75">
      <c r="A192" s="104"/>
      <c r="B192" s="17" t="s">
        <v>134</v>
      </c>
      <c r="C192" s="20"/>
      <c r="D192" s="20"/>
      <c r="E192" s="105"/>
      <c r="F192" s="20"/>
      <c r="G192" s="105"/>
      <c r="H192" s="20"/>
      <c r="I192" s="105"/>
      <c r="J192" s="20" t="s">
        <v>206</v>
      </c>
      <c r="K192" s="105" t="s">
        <v>213</v>
      </c>
      <c r="L192" s="18"/>
      <c r="M192" s="18"/>
      <c r="N192" s="9"/>
      <c r="O192" s="6"/>
    </row>
    <row r="193" spans="1:15" ht="15.75">
      <c r="A193" s="106"/>
      <c r="B193" s="74" t="s">
        <v>135</v>
      </c>
      <c r="C193" s="67"/>
      <c r="D193" s="67"/>
      <c r="E193" s="67"/>
      <c r="F193" s="67"/>
      <c r="G193" s="29"/>
      <c r="H193" s="29"/>
      <c r="I193" s="29"/>
      <c r="J193" s="29">
        <v>121</v>
      </c>
      <c r="K193" s="66">
        <v>734</v>
      </c>
      <c r="L193" s="66"/>
      <c r="M193" s="103"/>
      <c r="N193" s="107"/>
      <c r="O193" s="6"/>
    </row>
    <row r="194" spans="1:15" ht="15.75">
      <c r="A194" s="106"/>
      <c r="B194" s="74" t="s">
        <v>136</v>
      </c>
      <c r="C194" s="67"/>
      <c r="D194" s="67"/>
      <c r="E194" s="67"/>
      <c r="F194" s="67"/>
      <c r="G194" s="29"/>
      <c r="H194" s="29"/>
      <c r="I194" s="29"/>
      <c r="J194" s="29">
        <v>22</v>
      </c>
      <c r="K194" s="66">
        <v>109</v>
      </c>
      <c r="L194" s="66"/>
      <c r="M194" s="103"/>
      <c r="N194" s="107"/>
      <c r="O194" s="6"/>
    </row>
    <row r="195" spans="1:15" ht="15.75">
      <c r="A195" s="106"/>
      <c r="B195" s="74"/>
      <c r="C195" s="67"/>
      <c r="D195" s="67"/>
      <c r="E195" s="67"/>
      <c r="F195" s="67"/>
      <c r="G195" s="29"/>
      <c r="H195" s="29"/>
      <c r="I195" s="29"/>
      <c r="J195" s="29"/>
      <c r="K195" s="66"/>
      <c r="L195" s="66"/>
      <c r="M195" s="103"/>
      <c r="N195" s="107"/>
      <c r="O195" s="6"/>
    </row>
    <row r="196" spans="1:15" ht="15.75">
      <c r="A196" s="106"/>
      <c r="B196" s="74" t="s">
        <v>137</v>
      </c>
      <c r="C196" s="67"/>
      <c r="D196" s="67"/>
      <c r="E196" s="67"/>
      <c r="F196" s="67"/>
      <c r="G196" s="29"/>
      <c r="H196" s="29"/>
      <c r="I196" s="29"/>
      <c r="J196" s="29">
        <v>87</v>
      </c>
      <c r="K196" s="66">
        <v>1176</v>
      </c>
      <c r="L196" s="66"/>
      <c r="M196" s="103"/>
      <c r="N196" s="107"/>
      <c r="O196" s="6"/>
    </row>
    <row r="197" spans="1:15" ht="15.75">
      <c r="A197" s="106"/>
      <c r="B197" s="74" t="s">
        <v>138</v>
      </c>
      <c r="C197" s="67"/>
      <c r="D197" s="67"/>
      <c r="E197" s="67"/>
      <c r="F197" s="67"/>
      <c r="G197" s="29"/>
      <c r="H197" s="29"/>
      <c r="I197" s="29"/>
      <c r="J197" s="29">
        <v>5</v>
      </c>
      <c r="K197" s="66">
        <v>78</v>
      </c>
      <c r="L197" s="66"/>
      <c r="M197" s="103"/>
      <c r="N197" s="107"/>
      <c r="O197" s="6"/>
    </row>
    <row r="198" spans="1:15" ht="15.75">
      <c r="A198" s="106"/>
      <c r="B198" s="74"/>
      <c r="C198" s="67"/>
      <c r="D198" s="67"/>
      <c r="E198" s="67"/>
      <c r="F198" s="67"/>
      <c r="G198" s="29"/>
      <c r="H198" s="29"/>
      <c r="I198" s="29"/>
      <c r="J198" s="29"/>
      <c r="K198" s="66"/>
      <c r="L198" s="66"/>
      <c r="M198" s="103"/>
      <c r="N198" s="107"/>
      <c r="O198" s="6"/>
    </row>
    <row r="199" spans="1:15" ht="15.75">
      <c r="A199" s="106"/>
      <c r="B199" s="162" t="s">
        <v>139</v>
      </c>
      <c r="C199" s="67"/>
      <c r="D199" s="67"/>
      <c r="E199" s="67"/>
      <c r="F199" s="67"/>
      <c r="G199" s="29"/>
      <c r="H199" s="29"/>
      <c r="I199" s="29"/>
      <c r="J199" s="29"/>
      <c r="K199" s="73" t="s">
        <v>214</v>
      </c>
      <c r="L199" s="29"/>
      <c r="M199" s="103"/>
      <c r="N199" s="107"/>
      <c r="O199" s="6"/>
    </row>
    <row r="200" spans="1:15" ht="15.75">
      <c r="A200" s="106"/>
      <c r="B200" s="162" t="s">
        <v>140</v>
      </c>
      <c r="C200" s="67"/>
      <c r="D200" s="67"/>
      <c r="E200" s="67"/>
      <c r="F200" s="67"/>
      <c r="G200" s="29"/>
      <c r="H200" s="29"/>
      <c r="I200" s="29"/>
      <c r="J200" s="29"/>
      <c r="K200" s="66">
        <f>-I72</f>
        <v>28375</v>
      </c>
      <c r="L200" s="29"/>
      <c r="M200" s="103"/>
      <c r="N200" s="107"/>
      <c r="O200" s="6"/>
    </row>
    <row r="201" spans="1:15" ht="15.75">
      <c r="A201" s="108"/>
      <c r="B201" s="162" t="s">
        <v>141</v>
      </c>
      <c r="C201" s="67"/>
      <c r="D201" s="67"/>
      <c r="E201" s="74"/>
      <c r="F201" s="74"/>
      <c r="G201" s="74"/>
      <c r="H201" s="29"/>
      <c r="I201" s="29"/>
      <c r="J201" s="29"/>
      <c r="K201" s="73"/>
      <c r="L201" s="29"/>
      <c r="M201" s="103"/>
      <c r="N201" s="109"/>
      <c r="O201" s="6"/>
    </row>
    <row r="202" spans="1:15" ht="15.75">
      <c r="A202" s="108"/>
      <c r="B202" s="74" t="s">
        <v>142</v>
      </c>
      <c r="C202" s="67"/>
      <c r="D202" s="67"/>
      <c r="E202" s="74"/>
      <c r="F202" s="74"/>
      <c r="G202" s="74"/>
      <c r="H202" s="29"/>
      <c r="I202" s="29"/>
      <c r="J202" s="29"/>
      <c r="K202" s="89">
        <f>I142</f>
        <v>476</v>
      </c>
      <c r="L202" s="29"/>
      <c r="M202" s="103"/>
      <c r="N202" s="109"/>
      <c r="O202" s="6"/>
    </row>
    <row r="203" spans="1:15" ht="15.75">
      <c r="A203" s="108"/>
      <c r="B203" s="74" t="s">
        <v>143</v>
      </c>
      <c r="C203" s="67"/>
      <c r="D203" s="67"/>
      <c r="E203" s="74"/>
      <c r="F203" s="74"/>
      <c r="G203" s="74"/>
      <c r="H203" s="29"/>
      <c r="I203" s="29"/>
      <c r="J203" s="29"/>
      <c r="K203" s="89">
        <f>'April 2002'!K203+I142</f>
        <v>2068</v>
      </c>
      <c r="L203" s="29"/>
      <c r="M203" s="103"/>
      <c r="N203" s="109"/>
      <c r="O203" s="6"/>
    </row>
    <row r="204" spans="1:15" ht="15.75">
      <c r="A204" s="108"/>
      <c r="B204" s="74" t="s">
        <v>144</v>
      </c>
      <c r="C204" s="67"/>
      <c r="D204" s="67"/>
      <c r="E204" s="74"/>
      <c r="F204" s="74"/>
      <c r="G204" s="74"/>
      <c r="H204" s="29"/>
      <c r="I204" s="29"/>
      <c r="J204" s="29"/>
      <c r="K204" s="89">
        <f>39+13+24+37+79</f>
        <v>192</v>
      </c>
      <c r="L204" s="29"/>
      <c r="M204" s="103"/>
      <c r="N204" s="109"/>
      <c r="O204" s="6"/>
    </row>
    <row r="205" spans="1:15" ht="15.75">
      <c r="A205" s="108"/>
      <c r="B205" s="74"/>
      <c r="C205" s="67"/>
      <c r="D205" s="67"/>
      <c r="E205" s="74"/>
      <c r="F205" s="74"/>
      <c r="G205" s="74"/>
      <c r="H205" s="29"/>
      <c r="I205" s="29"/>
      <c r="J205" s="29"/>
      <c r="K205" s="89"/>
      <c r="L205" s="29"/>
      <c r="M205" s="103"/>
      <c r="N205" s="109"/>
      <c r="O205" s="6"/>
    </row>
    <row r="206" spans="1:15" ht="15.75">
      <c r="A206" s="106"/>
      <c r="B206" s="74" t="s">
        <v>145</v>
      </c>
      <c r="C206" s="67"/>
      <c r="D206" s="67"/>
      <c r="E206" s="67"/>
      <c r="F206" s="67"/>
      <c r="G206" s="67"/>
      <c r="H206" s="29"/>
      <c r="I206" s="29"/>
      <c r="J206" s="29"/>
      <c r="K206" s="66">
        <f>G142</f>
        <v>137</v>
      </c>
      <c r="L206" s="29"/>
      <c r="M206" s="103"/>
      <c r="N206" s="109"/>
      <c r="O206" s="6"/>
    </row>
    <row r="207" spans="1:15" ht="15.75">
      <c r="A207" s="106"/>
      <c r="B207" s="74" t="s">
        <v>146</v>
      </c>
      <c r="C207" s="67"/>
      <c r="D207" s="67"/>
      <c r="E207" s="67"/>
      <c r="F207" s="67"/>
      <c r="G207" s="67"/>
      <c r="H207" s="29"/>
      <c r="I207" s="29"/>
      <c r="J207" s="29"/>
      <c r="K207" s="66">
        <f>'April 2002'!K207+G142</f>
        <v>398</v>
      </c>
      <c r="L207" s="29"/>
      <c r="M207" s="103"/>
      <c r="N207" s="109"/>
      <c r="O207" s="6"/>
    </row>
    <row r="208" spans="1:15" ht="15.75">
      <c r="A208" s="106"/>
      <c r="B208" s="74" t="s">
        <v>144</v>
      </c>
      <c r="C208" s="67"/>
      <c r="D208" s="67"/>
      <c r="E208" s="67"/>
      <c r="F208" s="67"/>
      <c r="G208" s="67"/>
      <c r="H208" s="29"/>
      <c r="I208" s="29"/>
      <c r="J208" s="29"/>
      <c r="K208" s="66"/>
      <c r="L208" s="29"/>
      <c r="M208" s="103"/>
      <c r="N208" s="109"/>
      <c r="O208" s="6"/>
    </row>
    <row r="209" spans="1:15" ht="15.75">
      <c r="A209" s="106"/>
      <c r="B209" s="74"/>
      <c r="C209" s="67"/>
      <c r="D209" s="67"/>
      <c r="E209" s="67"/>
      <c r="F209" s="67"/>
      <c r="G209" s="67"/>
      <c r="H209" s="29"/>
      <c r="I209" s="29"/>
      <c r="J209" s="29"/>
      <c r="K209" s="66"/>
      <c r="L209" s="29"/>
      <c r="M209" s="103"/>
      <c r="N209" s="109"/>
      <c r="O209" s="6"/>
    </row>
    <row r="210" spans="1:15" ht="15.75">
      <c r="A210" s="108"/>
      <c r="B210" s="162" t="s">
        <v>147</v>
      </c>
      <c r="C210" s="67"/>
      <c r="D210" s="67"/>
      <c r="E210" s="74"/>
      <c r="F210" s="74"/>
      <c r="G210" s="74"/>
      <c r="H210" s="29"/>
      <c r="I210" s="29"/>
      <c r="J210" s="29"/>
      <c r="K210" s="110"/>
      <c r="L210" s="29"/>
      <c r="M210" s="103"/>
      <c r="N210" s="109"/>
      <c r="O210" s="6"/>
    </row>
    <row r="211" spans="1:15" ht="15.75">
      <c r="A211" s="108"/>
      <c r="B211" s="74" t="s">
        <v>148</v>
      </c>
      <c r="C211" s="67"/>
      <c r="D211" s="67"/>
      <c r="E211" s="74"/>
      <c r="F211" s="74"/>
      <c r="G211" s="74"/>
      <c r="H211" s="29"/>
      <c r="I211" s="29"/>
      <c r="J211" s="29"/>
      <c r="K211" s="110">
        <v>0</v>
      </c>
      <c r="L211" s="29"/>
      <c r="M211" s="103"/>
      <c r="N211" s="109"/>
      <c r="O211" s="6"/>
    </row>
    <row r="212" spans="1:15" ht="15.75">
      <c r="A212" s="106"/>
      <c r="B212" s="74" t="s">
        <v>149</v>
      </c>
      <c r="C212" s="67"/>
      <c r="D212" s="67"/>
      <c r="E212" s="111"/>
      <c r="F212" s="111"/>
      <c r="G212" s="112"/>
      <c r="H212" s="29"/>
      <c r="I212" s="29"/>
      <c r="J212" s="29"/>
      <c r="K212" s="110">
        <v>0</v>
      </c>
      <c r="L212" s="29"/>
      <c r="M212" s="103"/>
      <c r="N212" s="109"/>
      <c r="O212" s="6"/>
    </row>
    <row r="213" spans="1:15" ht="15.75">
      <c r="A213" s="106"/>
      <c r="B213" s="74" t="s">
        <v>150</v>
      </c>
      <c r="C213" s="67"/>
      <c r="D213" s="67"/>
      <c r="E213" s="111"/>
      <c r="F213" s="111"/>
      <c r="G213" s="112"/>
      <c r="H213" s="29"/>
      <c r="I213" s="29"/>
      <c r="J213" s="29"/>
      <c r="K213" s="110">
        <v>0</v>
      </c>
      <c r="L213" s="29"/>
      <c r="M213" s="103"/>
      <c r="N213" s="109"/>
      <c r="O213" s="6"/>
    </row>
    <row r="214" spans="1:15" ht="15.75">
      <c r="A214" s="106"/>
      <c r="B214" s="74" t="s">
        <v>151</v>
      </c>
      <c r="C214" s="67"/>
      <c r="D214" s="67"/>
      <c r="E214" s="113"/>
      <c r="F214" s="111"/>
      <c r="G214" s="112"/>
      <c r="H214" s="29"/>
      <c r="I214" s="29"/>
      <c r="J214" s="29"/>
      <c r="K214" s="110">
        <v>0</v>
      </c>
      <c r="L214" s="29"/>
      <c r="M214" s="103"/>
      <c r="N214" s="109"/>
      <c r="O214" s="6"/>
    </row>
    <row r="215" spans="1:15" ht="15.75">
      <c r="A215" s="106"/>
      <c r="B215" s="74"/>
      <c r="C215" s="67"/>
      <c r="D215" s="67"/>
      <c r="E215" s="113"/>
      <c r="F215" s="111"/>
      <c r="G215" s="112"/>
      <c r="H215" s="29"/>
      <c r="I215" s="37"/>
      <c r="J215" s="37"/>
      <c r="K215" s="114"/>
      <c r="L215" s="37"/>
      <c r="M215" s="103"/>
      <c r="N215" s="109"/>
      <c r="O215" s="6"/>
    </row>
    <row r="216" spans="1:15" ht="15.75">
      <c r="A216" s="106"/>
      <c r="B216" s="162" t="s">
        <v>152</v>
      </c>
      <c r="C216" s="67"/>
      <c r="D216" s="67"/>
      <c r="E216" s="113"/>
      <c r="F216" s="111"/>
      <c r="G216" s="112"/>
      <c r="H216" s="29"/>
      <c r="I216" s="37"/>
      <c r="J216" s="37"/>
      <c r="K216" s="114"/>
      <c r="L216" s="37"/>
      <c r="M216" s="103"/>
      <c r="N216" s="109"/>
      <c r="O216" s="6"/>
    </row>
    <row r="217" spans="1:15" ht="15.75">
      <c r="A217" s="106"/>
      <c r="B217" s="74" t="s">
        <v>153</v>
      </c>
      <c r="C217" s="67"/>
      <c r="D217" s="67"/>
      <c r="E217" s="113"/>
      <c r="F217" s="111"/>
      <c r="G217" s="112"/>
      <c r="H217" s="29"/>
      <c r="I217" s="37"/>
      <c r="J217" s="37"/>
      <c r="K217" s="115">
        <v>157</v>
      </c>
      <c r="L217" s="37"/>
      <c r="M217" s="103"/>
      <c r="N217" s="109"/>
      <c r="O217" s="6"/>
    </row>
    <row r="218" spans="1:15" ht="15.75">
      <c r="A218" s="106"/>
      <c r="B218" s="74" t="s">
        <v>149</v>
      </c>
      <c r="C218" s="67"/>
      <c r="D218" s="67"/>
      <c r="E218" s="113"/>
      <c r="F218" s="111"/>
      <c r="G218" s="112"/>
      <c r="H218" s="29"/>
      <c r="I218" s="37"/>
      <c r="J218" s="37"/>
      <c r="K218" s="115">
        <v>1.72</v>
      </c>
      <c r="L218" s="37"/>
      <c r="M218" s="103"/>
      <c r="N218" s="109"/>
      <c r="O218" s="6"/>
    </row>
    <row r="219" spans="1:15" ht="15.75">
      <c r="A219" s="106"/>
      <c r="B219" s="74" t="s">
        <v>154</v>
      </c>
      <c r="C219" s="67"/>
      <c r="D219" s="67"/>
      <c r="E219" s="113"/>
      <c r="F219" s="111"/>
      <c r="G219" s="112"/>
      <c r="H219" s="29"/>
      <c r="I219" s="37"/>
      <c r="J219" s="37"/>
      <c r="K219" s="115">
        <v>49</v>
      </c>
      <c r="L219" s="37"/>
      <c r="M219" s="103"/>
      <c r="N219" s="109"/>
      <c r="O219" s="6"/>
    </row>
    <row r="220" spans="1:15" ht="15.75">
      <c r="A220" s="106"/>
      <c r="B220" s="74"/>
      <c r="C220" s="67"/>
      <c r="D220" s="67"/>
      <c r="E220" s="113"/>
      <c r="F220" s="111"/>
      <c r="G220" s="112"/>
      <c r="H220" s="29"/>
      <c r="I220" s="37"/>
      <c r="J220" s="37"/>
      <c r="K220" s="114"/>
      <c r="L220" s="37"/>
      <c r="M220" s="103"/>
      <c r="N220" s="109"/>
      <c r="O220" s="6"/>
    </row>
    <row r="221" spans="1:15" ht="15.75">
      <c r="A221" s="28"/>
      <c r="B221" s="32" t="s">
        <v>155</v>
      </c>
      <c r="C221" s="119"/>
      <c r="D221" s="119"/>
      <c r="E221" s="120"/>
      <c r="F221" s="119"/>
      <c r="G221" s="120"/>
      <c r="H221" s="119"/>
      <c r="I221" s="120" t="s">
        <v>206</v>
      </c>
      <c r="J221" s="119" t="s">
        <v>208</v>
      </c>
      <c r="K221" s="120" t="s">
        <v>215</v>
      </c>
      <c r="L221" s="119" t="s">
        <v>208</v>
      </c>
      <c r="M221" s="121"/>
      <c r="N221" s="109"/>
      <c r="O221" s="6"/>
    </row>
    <row r="222" spans="1:15" ht="15.75">
      <c r="A222" s="28"/>
      <c r="B222" s="67" t="s">
        <v>156</v>
      </c>
      <c r="C222" s="116"/>
      <c r="D222" s="116"/>
      <c r="E222" s="67"/>
      <c r="F222" s="116"/>
      <c r="G222" s="29"/>
      <c r="H222" s="116"/>
      <c r="I222" s="67">
        <v>6461</v>
      </c>
      <c r="J222" s="116">
        <f>I222/I226</f>
        <v>0.9584631360332295</v>
      </c>
      <c r="K222" s="66">
        <v>75550</v>
      </c>
      <c r="L222" s="117">
        <f>K222/K226</f>
        <v>0.9522789149944539</v>
      </c>
      <c r="M222" s="103"/>
      <c r="N222" s="109"/>
      <c r="O222" s="6"/>
    </row>
    <row r="223" spans="1:15" ht="15.75">
      <c r="A223" s="28"/>
      <c r="B223" s="67" t="s">
        <v>157</v>
      </c>
      <c r="C223" s="116"/>
      <c r="D223" s="116"/>
      <c r="E223" s="67"/>
      <c r="F223" s="116"/>
      <c r="G223" s="29"/>
      <c r="H223" s="118"/>
      <c r="I223" s="67">
        <v>122</v>
      </c>
      <c r="J223" s="116">
        <f>I223/I226</f>
        <v>0.018098205014092865</v>
      </c>
      <c r="K223" s="66">
        <v>1756</v>
      </c>
      <c r="L223" s="117">
        <f>K223/K226</f>
        <v>0.02213370979126752</v>
      </c>
      <c r="M223" s="103"/>
      <c r="N223" s="109"/>
      <c r="O223" s="6"/>
    </row>
    <row r="224" spans="1:15" ht="15.75">
      <c r="A224" s="28"/>
      <c r="B224" s="67" t="s">
        <v>158</v>
      </c>
      <c r="C224" s="116"/>
      <c r="D224" s="116"/>
      <c r="E224" s="67"/>
      <c r="F224" s="116"/>
      <c r="G224" s="29"/>
      <c r="H224" s="118"/>
      <c r="I224" s="67">
        <v>55</v>
      </c>
      <c r="J224" s="116">
        <f>I224/I226</f>
        <v>0.008159026850615635</v>
      </c>
      <c r="K224" s="66">
        <v>663</v>
      </c>
      <c r="L224" s="117">
        <f>K224/K226</f>
        <v>0.008356861954220026</v>
      </c>
      <c r="M224" s="103"/>
      <c r="N224" s="109"/>
      <c r="O224" s="6"/>
    </row>
    <row r="225" spans="1:15" ht="15.75">
      <c r="A225" s="28"/>
      <c r="B225" s="67" t="s">
        <v>159</v>
      </c>
      <c r="C225" s="116"/>
      <c r="D225" s="116"/>
      <c r="E225" s="67"/>
      <c r="F225" s="116"/>
      <c r="G225" s="29"/>
      <c r="H225" s="118"/>
      <c r="I225" s="67">
        <f>36+17+16+23+11</f>
        <v>103</v>
      </c>
      <c r="J225" s="116">
        <f>I225/I226</f>
        <v>0.015279632102062008</v>
      </c>
      <c r="K225" s="66">
        <f>543+214+220+267+123</f>
        <v>1367</v>
      </c>
      <c r="L225" s="117">
        <f>K225/K226</f>
        <v>0.017230513260058485</v>
      </c>
      <c r="M225" s="103"/>
      <c r="N225" s="109"/>
      <c r="O225" s="6"/>
    </row>
    <row r="226" spans="1:15" ht="15.75">
      <c r="A226" s="28"/>
      <c r="B226" s="29"/>
      <c r="C226" s="29"/>
      <c r="D226" s="29"/>
      <c r="E226" s="37"/>
      <c r="F226" s="29"/>
      <c r="G226" s="29"/>
      <c r="H226" s="29"/>
      <c r="I226" s="65">
        <f>SUM(I222:I225)</f>
        <v>6741</v>
      </c>
      <c r="J226" s="117">
        <f>SUM(J222:J225)</f>
        <v>1</v>
      </c>
      <c r="K226" s="66">
        <f>SUM(K222:K225)</f>
        <v>79336</v>
      </c>
      <c r="L226" s="117">
        <f>SUM(L222:L225)</f>
        <v>1</v>
      </c>
      <c r="M226" s="103"/>
      <c r="N226" s="29"/>
      <c r="O226" s="6"/>
    </row>
    <row r="227" spans="1:15" ht="15.75">
      <c r="A227" s="28"/>
      <c r="B227" s="29"/>
      <c r="C227" s="29"/>
      <c r="D227" s="29"/>
      <c r="E227" s="37"/>
      <c r="F227" s="29"/>
      <c r="G227" s="29"/>
      <c r="H227" s="29"/>
      <c r="I227" s="65"/>
      <c r="J227" s="117"/>
      <c r="K227" s="66"/>
      <c r="L227" s="117"/>
      <c r="M227" s="103"/>
      <c r="N227" s="29"/>
      <c r="O227" s="6"/>
    </row>
    <row r="228" spans="1:15" ht="15.75">
      <c r="A228" s="28"/>
      <c r="B228" s="32" t="s">
        <v>160</v>
      </c>
      <c r="C228" s="119"/>
      <c r="D228" s="119"/>
      <c r="E228" s="120"/>
      <c r="F228" s="119"/>
      <c r="G228" s="120"/>
      <c r="H228" s="119"/>
      <c r="I228" s="120" t="s">
        <v>206</v>
      </c>
      <c r="J228" s="119" t="s">
        <v>208</v>
      </c>
      <c r="K228" s="120" t="s">
        <v>215</v>
      </c>
      <c r="L228" s="119" t="s">
        <v>208</v>
      </c>
      <c r="M228" s="121"/>
      <c r="N228" s="109"/>
      <c r="O228" s="6"/>
    </row>
    <row r="229" spans="1:15" ht="15.75">
      <c r="A229" s="28"/>
      <c r="B229" s="67" t="s">
        <v>156</v>
      </c>
      <c r="C229" s="116"/>
      <c r="D229" s="116"/>
      <c r="E229" s="67"/>
      <c r="F229" s="116"/>
      <c r="G229" s="29"/>
      <c r="H229" s="116"/>
      <c r="I229" s="67">
        <v>16523</v>
      </c>
      <c r="J229" s="116">
        <f>I229/I233</f>
        <v>0.9812340400261298</v>
      </c>
      <c r="K229" s="66">
        <v>89806</v>
      </c>
      <c r="L229" s="116">
        <f>K229/K233</f>
        <v>0.980671791735826</v>
      </c>
      <c r="M229" s="103"/>
      <c r="N229" s="109"/>
      <c r="O229" s="6"/>
    </row>
    <row r="230" spans="1:15" ht="15.75">
      <c r="A230" s="28"/>
      <c r="B230" s="67" t="s">
        <v>157</v>
      </c>
      <c r="C230" s="116"/>
      <c r="D230" s="116"/>
      <c r="E230" s="67"/>
      <c r="F230" s="116"/>
      <c r="G230" s="29"/>
      <c r="H230" s="118"/>
      <c r="I230" s="67">
        <v>143</v>
      </c>
      <c r="J230" s="116">
        <f>I230/I233</f>
        <v>0.008492190747669102</v>
      </c>
      <c r="K230" s="66">
        <v>857</v>
      </c>
      <c r="L230" s="116">
        <f>K230/K233</f>
        <v>0.009358347165196122</v>
      </c>
      <c r="M230" s="103"/>
      <c r="N230" s="109"/>
      <c r="O230" s="6"/>
    </row>
    <row r="231" spans="1:15" ht="15.75">
      <c r="A231" s="28"/>
      <c r="B231" s="67" t="s">
        <v>158</v>
      </c>
      <c r="C231" s="116"/>
      <c r="D231" s="116"/>
      <c r="E231" s="67"/>
      <c r="F231" s="116"/>
      <c r="G231" s="29"/>
      <c r="H231" s="118"/>
      <c r="I231" s="67">
        <v>56</v>
      </c>
      <c r="J231" s="116">
        <f>I231/I233</f>
        <v>0.0033256131599263615</v>
      </c>
      <c r="K231" s="66">
        <v>291</v>
      </c>
      <c r="L231" s="116">
        <f>K231/K233</f>
        <v>0.0031776884773303047</v>
      </c>
      <c r="M231" s="103"/>
      <c r="N231" s="109"/>
      <c r="O231" s="6"/>
    </row>
    <row r="232" spans="1:15" ht="15.75">
      <c r="A232" s="28"/>
      <c r="B232" s="67" t="s">
        <v>159</v>
      </c>
      <c r="C232" s="116"/>
      <c r="D232" s="116"/>
      <c r="E232" s="67"/>
      <c r="F232" s="116"/>
      <c r="G232" s="29"/>
      <c r="H232" s="118"/>
      <c r="I232" s="67">
        <f>34+22+18+32+11</f>
        <v>117</v>
      </c>
      <c r="J232" s="116">
        <f>I232/I233</f>
        <v>0.00694815606627472</v>
      </c>
      <c r="K232" s="66">
        <f>160+106+79+193+84</f>
        <v>622</v>
      </c>
      <c r="L232" s="116">
        <f>K232/K233</f>
        <v>0.006792172621647594</v>
      </c>
      <c r="M232" s="103"/>
      <c r="N232" s="109"/>
      <c r="O232" s="6"/>
    </row>
    <row r="233" spans="1:15" ht="15.75">
      <c r="A233" s="28"/>
      <c r="B233" s="29"/>
      <c r="C233" s="29"/>
      <c r="D233" s="29"/>
      <c r="E233" s="37"/>
      <c r="F233" s="29"/>
      <c r="G233" s="29"/>
      <c r="H233" s="29"/>
      <c r="I233" s="65">
        <f>SUM(I229:I232)</f>
        <v>16839</v>
      </c>
      <c r="J233" s="117">
        <f>SUM(J229:J232)</f>
        <v>1</v>
      </c>
      <c r="K233" s="66">
        <f>SUM(K229:K232)</f>
        <v>91576</v>
      </c>
      <c r="L233" s="117">
        <f>SUM(L229:L232)</f>
        <v>1</v>
      </c>
      <c r="M233" s="103"/>
      <c r="N233" s="29"/>
      <c r="O233" s="6"/>
    </row>
    <row r="234" spans="1:15" ht="15.75">
      <c r="A234" s="28"/>
      <c r="B234" s="29"/>
      <c r="C234" s="29"/>
      <c r="D234" s="29"/>
      <c r="E234" s="37"/>
      <c r="F234" s="29"/>
      <c r="G234" s="29"/>
      <c r="H234" s="29"/>
      <c r="I234" s="65"/>
      <c r="J234" s="117"/>
      <c r="K234" s="66"/>
      <c r="L234" s="117"/>
      <c r="M234" s="103"/>
      <c r="N234" s="29"/>
      <c r="O234" s="6"/>
    </row>
    <row r="235" spans="1:15" ht="15.75">
      <c r="A235" s="28"/>
      <c r="B235" s="29" t="s">
        <v>161</v>
      </c>
      <c r="C235" s="29"/>
      <c r="D235" s="29"/>
      <c r="E235" s="37"/>
      <c r="F235" s="29"/>
      <c r="G235" s="29"/>
      <c r="H235" s="29"/>
      <c r="I235" s="65"/>
      <c r="J235" s="117"/>
      <c r="K235" s="66">
        <f>K226+K233</f>
        <v>170912</v>
      </c>
      <c r="L235" s="117"/>
      <c r="M235" s="103"/>
      <c r="N235" s="29"/>
      <c r="O235" s="6"/>
    </row>
    <row r="236" spans="1:15" ht="15.75">
      <c r="A236" s="28"/>
      <c r="B236" s="29"/>
      <c r="C236" s="29"/>
      <c r="D236" s="29"/>
      <c r="E236" s="37"/>
      <c r="F236" s="29"/>
      <c r="G236" s="29"/>
      <c r="H236" s="29"/>
      <c r="I236" s="65"/>
      <c r="J236" s="117"/>
      <c r="K236" s="66"/>
      <c r="L236" s="117"/>
      <c r="M236" s="103"/>
      <c r="N236" s="29"/>
      <c r="O236" s="6"/>
    </row>
    <row r="237" spans="1:15" ht="15.75">
      <c r="A237" s="28"/>
      <c r="B237" s="29"/>
      <c r="C237" s="29"/>
      <c r="D237" s="29"/>
      <c r="E237" s="37"/>
      <c r="F237" s="29"/>
      <c r="G237" s="29"/>
      <c r="H237" s="29"/>
      <c r="I237" s="65"/>
      <c r="J237" s="117"/>
      <c r="K237" s="66"/>
      <c r="L237" s="117"/>
      <c r="M237" s="103"/>
      <c r="N237" s="29"/>
      <c r="O237" s="6"/>
    </row>
    <row r="238" spans="1:15" ht="15.75">
      <c r="A238" s="122"/>
      <c r="B238" s="17" t="s">
        <v>162</v>
      </c>
      <c r="C238" s="123"/>
      <c r="D238" s="123"/>
      <c r="E238" s="20" t="s">
        <v>182</v>
      </c>
      <c r="F238" s="18"/>
      <c r="G238" s="17" t="s">
        <v>194</v>
      </c>
      <c r="H238" s="124"/>
      <c r="I238" s="124"/>
      <c r="J238" s="124"/>
      <c r="K238" s="125"/>
      <c r="L238" s="14"/>
      <c r="M238" s="14"/>
      <c r="N238" s="14"/>
      <c r="O238" s="6"/>
    </row>
    <row r="239" spans="1:15" ht="15.75">
      <c r="A239" s="122"/>
      <c r="B239" s="15" t="s">
        <v>163</v>
      </c>
      <c r="C239" s="126"/>
      <c r="D239" s="126"/>
      <c r="E239" s="127" t="s">
        <v>183</v>
      </c>
      <c r="F239" s="15"/>
      <c r="G239" s="15" t="s">
        <v>195</v>
      </c>
      <c r="H239" s="126"/>
      <c r="I239" s="126"/>
      <c r="J239" s="14"/>
      <c r="K239" s="14"/>
      <c r="L239" s="14"/>
      <c r="M239" s="14"/>
      <c r="N239" s="14"/>
      <c r="O239" s="6"/>
    </row>
    <row r="240" spans="1:15" ht="15.75">
      <c r="A240" s="122"/>
      <c r="B240" s="15" t="s">
        <v>164</v>
      </c>
      <c r="C240" s="126"/>
      <c r="D240" s="126"/>
      <c r="E240" s="127" t="s">
        <v>184</v>
      </c>
      <c r="F240" s="15"/>
      <c r="G240" s="15" t="s">
        <v>196</v>
      </c>
      <c r="H240" s="126"/>
      <c r="I240" s="126"/>
      <c r="J240" s="14"/>
      <c r="K240" s="14"/>
      <c r="L240" s="14"/>
      <c r="M240" s="14"/>
      <c r="N240" s="14"/>
      <c r="O240" s="6"/>
    </row>
    <row r="241" spans="1:15" ht="15.75">
      <c r="A241" s="122"/>
      <c r="B241" s="15"/>
      <c r="C241" s="126"/>
      <c r="D241" s="126"/>
      <c r="E241" s="127"/>
      <c r="F241" s="15"/>
      <c r="G241" s="15"/>
      <c r="H241" s="126"/>
      <c r="I241" s="126"/>
      <c r="J241" s="14"/>
      <c r="K241" s="14"/>
      <c r="L241" s="14"/>
      <c r="M241" s="14"/>
      <c r="N241" s="14"/>
      <c r="O241" s="6"/>
    </row>
    <row r="242" spans="1:15" ht="15.75">
      <c r="A242" s="122"/>
      <c r="B242" s="15"/>
      <c r="C242" s="126"/>
      <c r="D242" s="126"/>
      <c r="E242" s="127"/>
      <c r="F242" s="15"/>
      <c r="G242" s="15"/>
      <c r="H242" s="126"/>
      <c r="I242" s="126"/>
      <c r="J242" s="14"/>
      <c r="K242" s="14"/>
      <c r="L242" s="14"/>
      <c r="M242" s="14"/>
      <c r="N242" s="14"/>
      <c r="O242" s="6"/>
    </row>
    <row r="243" spans="1:15" ht="15.75">
      <c r="A243" s="122"/>
      <c r="B243" s="15" t="s">
        <v>236</v>
      </c>
      <c r="C243" s="126"/>
      <c r="D243" s="126"/>
      <c r="E243" s="127"/>
      <c r="F243" s="15"/>
      <c r="G243" s="15"/>
      <c r="H243" s="126"/>
      <c r="I243" s="126"/>
      <c r="J243" s="14"/>
      <c r="K243" s="14"/>
      <c r="L243" s="14"/>
      <c r="M243" s="14"/>
      <c r="N243" s="14"/>
      <c r="O243" s="6"/>
    </row>
    <row r="244" spans="1:14" ht="15">
      <c r="A244" s="130"/>
      <c r="B244" s="130"/>
      <c r="C244" s="130"/>
      <c r="D244" s="130"/>
      <c r="E244" s="130"/>
      <c r="F244" s="130"/>
      <c r="G244" s="130"/>
      <c r="H244" s="130"/>
      <c r="I244" s="130"/>
      <c r="J244" s="130"/>
      <c r="K244" s="130"/>
      <c r="L244" s="130"/>
      <c r="M244" s="130"/>
      <c r="N244" s="130"/>
    </row>
  </sheetData>
  <printOptions horizontalCentered="1" verticalCentered="1"/>
  <pageMargins left="0.2362204724409449" right="0.4330708661417323" top="0.2362204724409449" bottom="0.31496062992125984" header="0" footer="0"/>
  <pageSetup horizontalDpi="600" verticalDpi="600" orientation="landscape" paperSize="9" scale="48" r:id="rId2"/>
  <rowBreaks count="3" manualBreakCount="3">
    <brk id="53" max="14" man="1"/>
    <brk id="116" max="14" man="1"/>
    <brk id="174" max="14" man="1"/>
  </rowBreaks>
  <drawing r:id="rId1"/>
</worksheet>
</file>

<file path=xl/worksheets/sheet8.xml><?xml version="1.0" encoding="utf-8"?>
<worksheet xmlns="http://schemas.openxmlformats.org/spreadsheetml/2006/main" xmlns:r="http://schemas.openxmlformats.org/officeDocument/2006/relationships">
  <dimension ref="A1:P24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49.6640625" style="1" customWidth="1"/>
    <col min="3" max="3" width="12.6640625" style="1" customWidth="1"/>
    <col min="4" max="4" width="18.6640625" style="1" customWidth="1"/>
    <col min="5" max="5" width="14.6640625" style="1" customWidth="1"/>
    <col min="6" max="6" width="4.6640625" style="1" customWidth="1"/>
    <col min="7" max="7" width="14.6640625" style="1" customWidth="1"/>
    <col min="8" max="8" width="4.6640625" style="1" customWidth="1"/>
    <col min="9" max="9" width="19.6640625" style="1" customWidth="1"/>
    <col min="10" max="10" width="6.6640625" style="1" customWidth="1"/>
    <col min="11" max="11" width="11.6640625" style="1" customWidth="1"/>
    <col min="12" max="12" width="8.6640625" style="1" customWidth="1"/>
    <col min="13" max="13" width="14.6640625" style="1" customWidth="1"/>
    <col min="14" max="14" width="2.6640625" style="1" customWidth="1"/>
    <col min="15" max="16384" width="9.6640625" style="1" customWidth="1"/>
  </cols>
  <sheetData>
    <row r="1" spans="1:15" ht="20.25">
      <c r="A1" s="2"/>
      <c r="B1" s="3" t="s">
        <v>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44" t="s">
        <v>1</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2</v>
      </c>
      <c r="C5" s="13"/>
      <c r="D5" s="13"/>
      <c r="E5" s="9"/>
      <c r="F5" s="9"/>
      <c r="G5" s="9"/>
      <c r="H5" s="9"/>
      <c r="I5" s="9"/>
      <c r="J5" s="9"/>
      <c r="K5" s="9"/>
      <c r="L5" s="9"/>
      <c r="M5" s="9"/>
      <c r="N5" s="9"/>
      <c r="O5" s="6"/>
    </row>
    <row r="6" spans="1:15" ht="15.75">
      <c r="A6" s="7"/>
      <c r="B6" s="12" t="s">
        <v>3</v>
      </c>
      <c r="C6" s="13"/>
      <c r="D6" s="13"/>
      <c r="E6" s="9"/>
      <c r="F6" s="9"/>
      <c r="G6" s="9"/>
      <c r="H6" s="9"/>
      <c r="I6" s="9"/>
      <c r="J6" s="9"/>
      <c r="K6" s="9"/>
      <c r="L6" s="9"/>
      <c r="M6" s="9"/>
      <c r="N6" s="9"/>
      <c r="O6" s="6"/>
    </row>
    <row r="7" spans="1:15" ht="15.75">
      <c r="A7" s="7"/>
      <c r="B7" s="12" t="s">
        <v>4</v>
      </c>
      <c r="C7" s="13"/>
      <c r="D7" s="13"/>
      <c r="E7" s="9"/>
      <c r="F7" s="9"/>
      <c r="G7" s="9"/>
      <c r="H7" s="9"/>
      <c r="I7" s="9"/>
      <c r="J7" s="9"/>
      <c r="K7" s="9"/>
      <c r="L7" s="9"/>
      <c r="M7" s="9"/>
      <c r="N7" s="9"/>
      <c r="O7" s="6"/>
    </row>
    <row r="8" spans="1:15" ht="15.75">
      <c r="A8" s="7"/>
      <c r="B8" s="14"/>
      <c r="C8" s="13"/>
      <c r="D8" s="13"/>
      <c r="E8" s="9"/>
      <c r="F8" s="9"/>
      <c r="G8" s="9"/>
      <c r="H8" s="9"/>
      <c r="I8" s="9"/>
      <c r="J8" s="9"/>
      <c r="K8" s="9"/>
      <c r="L8" s="9"/>
      <c r="M8" s="9"/>
      <c r="N8" s="9"/>
      <c r="O8" s="6"/>
    </row>
    <row r="9" spans="1:15" ht="15.75">
      <c r="A9" s="7"/>
      <c r="B9" s="13"/>
      <c r="C9" s="13"/>
      <c r="D9" s="13"/>
      <c r="E9" s="15"/>
      <c r="F9" s="15"/>
      <c r="G9" s="9"/>
      <c r="H9" s="9"/>
      <c r="I9" s="9"/>
      <c r="J9" s="9"/>
      <c r="K9" s="9"/>
      <c r="L9" s="9"/>
      <c r="M9" s="9"/>
      <c r="N9" s="9"/>
      <c r="O9" s="6"/>
    </row>
    <row r="10" spans="1:15" ht="15.75">
      <c r="A10" s="7"/>
      <c r="B10" s="15" t="s">
        <v>5</v>
      </c>
      <c r="C10" s="15"/>
      <c r="D10" s="15"/>
      <c r="E10" s="9"/>
      <c r="F10" s="9"/>
      <c r="G10" s="9"/>
      <c r="H10" s="9"/>
      <c r="I10" s="9"/>
      <c r="J10" s="9"/>
      <c r="K10" s="9"/>
      <c r="L10" s="9"/>
      <c r="M10" s="9"/>
      <c r="N10" s="9"/>
      <c r="O10" s="6"/>
    </row>
    <row r="11" spans="1:15" ht="15.75">
      <c r="A11" s="7"/>
      <c r="B11" s="15"/>
      <c r="C11" s="15"/>
      <c r="D11" s="15"/>
      <c r="E11" s="9"/>
      <c r="F11" s="9"/>
      <c r="G11" s="9"/>
      <c r="H11" s="9"/>
      <c r="I11" s="9"/>
      <c r="J11" s="9"/>
      <c r="K11" s="9"/>
      <c r="L11" s="9"/>
      <c r="M11" s="9"/>
      <c r="N11" s="9"/>
      <c r="O11" s="6"/>
    </row>
    <row r="12" spans="1:15" ht="15.75">
      <c r="A12" s="2"/>
      <c r="B12" s="5"/>
      <c r="C12" s="5"/>
      <c r="D12" s="5"/>
      <c r="E12" s="5"/>
      <c r="F12" s="5"/>
      <c r="G12" s="5"/>
      <c r="H12" s="5"/>
      <c r="I12" s="5"/>
      <c r="J12" s="5"/>
      <c r="K12" s="5"/>
      <c r="L12" s="5"/>
      <c r="M12" s="5"/>
      <c r="N12" s="5"/>
      <c r="O12" s="6"/>
    </row>
    <row r="13" spans="1:15" ht="15.75">
      <c r="A13" s="7"/>
      <c r="B13" s="17" t="s">
        <v>6</v>
      </c>
      <c r="C13" s="17"/>
      <c r="D13" s="17"/>
      <c r="E13" s="18"/>
      <c r="F13" s="18"/>
      <c r="G13" s="18"/>
      <c r="H13" s="18"/>
      <c r="I13" s="18"/>
      <c r="J13" s="18"/>
      <c r="K13" s="18"/>
      <c r="L13" s="18"/>
      <c r="M13" s="19" t="s">
        <v>217</v>
      </c>
      <c r="N13" s="9"/>
      <c r="O13" s="6"/>
    </row>
    <row r="14" spans="1:15" ht="15.75">
      <c r="A14" s="7"/>
      <c r="B14" s="17" t="s">
        <v>7</v>
      </c>
      <c r="C14" s="17"/>
      <c r="D14" s="18"/>
      <c r="E14" s="18"/>
      <c r="F14" s="18"/>
      <c r="G14" s="18"/>
      <c r="H14" s="20" t="s">
        <v>197</v>
      </c>
      <c r="I14" s="21">
        <v>0.52</v>
      </c>
      <c r="J14" s="20" t="s">
        <v>207</v>
      </c>
      <c r="K14" s="21">
        <v>0.48</v>
      </c>
      <c r="L14" s="18"/>
      <c r="M14" s="19"/>
      <c r="N14" s="9"/>
      <c r="O14" s="6"/>
    </row>
    <row r="15" spans="1:15" ht="15.75">
      <c r="A15" s="7"/>
      <c r="B15" s="17" t="s">
        <v>8</v>
      </c>
      <c r="C15" s="17"/>
      <c r="D15" s="18"/>
      <c r="E15" s="18"/>
      <c r="F15" s="18"/>
      <c r="G15" s="18"/>
      <c r="H15" s="20" t="s">
        <v>197</v>
      </c>
      <c r="I15" s="21">
        <f>K233/K235</f>
        <v>0.5494873478757328</v>
      </c>
      <c r="J15" s="20" t="s">
        <v>207</v>
      </c>
      <c r="K15" s="21">
        <f>K226/K235</f>
        <v>0.4505126521242671</v>
      </c>
      <c r="L15" s="18"/>
      <c r="M15" s="19"/>
      <c r="N15" s="9"/>
      <c r="O15" s="6"/>
    </row>
    <row r="16" spans="1:15" ht="15.75">
      <c r="A16" s="7"/>
      <c r="B16" s="17" t="s">
        <v>9</v>
      </c>
      <c r="C16" s="17"/>
      <c r="D16" s="17"/>
      <c r="E16" s="18"/>
      <c r="F16" s="18"/>
      <c r="G16" s="18"/>
      <c r="H16" s="18"/>
      <c r="I16" s="18"/>
      <c r="J16" s="18"/>
      <c r="K16" s="18"/>
      <c r="L16" s="18"/>
      <c r="M16" s="20" t="s">
        <v>218</v>
      </c>
      <c r="N16" s="9"/>
      <c r="O16" s="6"/>
    </row>
    <row r="17" spans="1:15" ht="15.75">
      <c r="A17" s="7"/>
      <c r="B17" s="17" t="s">
        <v>10</v>
      </c>
      <c r="C17" s="17"/>
      <c r="D17" s="17"/>
      <c r="E17" s="18"/>
      <c r="F17" s="18"/>
      <c r="G17" s="18"/>
      <c r="H17" s="18"/>
      <c r="I17" s="18"/>
      <c r="J17" s="18"/>
      <c r="K17" s="18"/>
      <c r="L17" s="18"/>
      <c r="M17" s="22">
        <v>37580</v>
      </c>
      <c r="N17" s="9"/>
      <c r="O17" s="6"/>
    </row>
    <row r="18" spans="1:15" ht="15.75">
      <c r="A18" s="7"/>
      <c r="B18" s="9"/>
      <c r="C18" s="9"/>
      <c r="D18" s="9"/>
      <c r="E18" s="9"/>
      <c r="F18" s="9"/>
      <c r="G18" s="9"/>
      <c r="H18" s="9"/>
      <c r="I18" s="9"/>
      <c r="J18" s="9"/>
      <c r="K18" s="9"/>
      <c r="L18" s="9"/>
      <c r="M18" s="23"/>
      <c r="N18" s="9"/>
      <c r="O18" s="6"/>
    </row>
    <row r="19" spans="1:15" ht="15.75">
      <c r="A19" s="7"/>
      <c r="B19" s="24" t="s">
        <v>11</v>
      </c>
      <c r="C19" s="9"/>
      <c r="D19" s="9"/>
      <c r="E19" s="9"/>
      <c r="F19" s="9"/>
      <c r="G19" s="9"/>
      <c r="H19" s="9"/>
      <c r="I19" s="9"/>
      <c r="J19" s="9"/>
      <c r="K19" s="23"/>
      <c r="L19" s="9"/>
      <c r="M19" s="14"/>
      <c r="N19" s="9"/>
      <c r="O19" s="6"/>
    </row>
    <row r="20" spans="1:15" ht="15.75">
      <c r="A20" s="7"/>
      <c r="B20" s="9"/>
      <c r="C20" s="9"/>
      <c r="D20" s="9"/>
      <c r="E20" s="9"/>
      <c r="F20" s="9"/>
      <c r="G20" s="9"/>
      <c r="H20" s="9"/>
      <c r="I20" s="9"/>
      <c r="J20" s="9"/>
      <c r="K20" s="9"/>
      <c r="L20" s="9"/>
      <c r="M20" s="25"/>
      <c r="N20" s="9"/>
      <c r="O20" s="6"/>
    </row>
    <row r="21" spans="1:15" ht="31.5">
      <c r="A21" s="7"/>
      <c r="B21" s="9"/>
      <c r="C21" s="145" t="s">
        <v>165</v>
      </c>
      <c r="D21" s="168" t="s">
        <v>168</v>
      </c>
      <c r="E21" s="168" t="s">
        <v>179</v>
      </c>
      <c r="F21" s="168"/>
      <c r="G21" s="168" t="s">
        <v>185</v>
      </c>
      <c r="H21" s="168"/>
      <c r="I21" s="168" t="s">
        <v>198</v>
      </c>
      <c r="J21" s="26"/>
      <c r="K21" s="27"/>
      <c r="L21" s="14"/>
      <c r="M21" s="14"/>
      <c r="N21" s="9"/>
      <c r="O21" s="6"/>
    </row>
    <row r="22" spans="1:15" ht="15.75">
      <c r="A22" s="28"/>
      <c r="B22" s="29" t="s">
        <v>12</v>
      </c>
      <c r="C22" s="146" t="s">
        <v>166</v>
      </c>
      <c r="D22" s="30" t="s">
        <v>169</v>
      </c>
      <c r="E22" s="30"/>
      <c r="F22" s="30"/>
      <c r="G22" s="30" t="s">
        <v>186</v>
      </c>
      <c r="H22" s="30"/>
      <c r="I22" s="30" t="s">
        <v>199</v>
      </c>
      <c r="J22" s="30"/>
      <c r="K22" s="30"/>
      <c r="L22" s="31"/>
      <c r="M22" s="31"/>
      <c r="N22" s="29"/>
      <c r="O22" s="6"/>
    </row>
    <row r="23" spans="1:15" ht="15.75">
      <c r="A23" s="28"/>
      <c r="B23" s="29" t="s">
        <v>13</v>
      </c>
      <c r="C23" s="32"/>
      <c r="D23" s="33" t="s">
        <v>170</v>
      </c>
      <c r="E23" s="34"/>
      <c r="F23" s="33"/>
      <c r="G23" s="33" t="s">
        <v>187</v>
      </c>
      <c r="H23" s="33"/>
      <c r="I23" s="33" t="s">
        <v>200</v>
      </c>
      <c r="J23" s="35"/>
      <c r="K23" s="35"/>
      <c r="L23" s="36"/>
      <c r="M23" s="31"/>
      <c r="N23" s="29"/>
      <c r="O23" s="6"/>
    </row>
    <row r="24" spans="1:15" ht="15.75">
      <c r="A24" s="28"/>
      <c r="B24" s="32" t="s">
        <v>14</v>
      </c>
      <c r="C24" s="32"/>
      <c r="D24" s="35" t="s">
        <v>169</v>
      </c>
      <c r="E24" s="35"/>
      <c r="F24" s="35"/>
      <c r="G24" s="35" t="s">
        <v>186</v>
      </c>
      <c r="H24" s="35"/>
      <c r="I24" s="35" t="s">
        <v>199</v>
      </c>
      <c r="J24" s="35"/>
      <c r="K24" s="35"/>
      <c r="L24" s="36"/>
      <c r="M24" s="31"/>
      <c r="N24" s="29"/>
      <c r="O24" s="6"/>
    </row>
    <row r="25" spans="1:15" ht="15.75">
      <c r="A25" s="28"/>
      <c r="B25" s="32" t="s">
        <v>15</v>
      </c>
      <c r="C25" s="32"/>
      <c r="D25" s="35" t="s">
        <v>170</v>
      </c>
      <c r="E25" s="35"/>
      <c r="F25" s="35"/>
      <c r="G25" s="35" t="s">
        <v>187</v>
      </c>
      <c r="H25" s="35"/>
      <c r="I25" s="35" t="s">
        <v>200</v>
      </c>
      <c r="J25" s="35"/>
      <c r="K25" s="35"/>
      <c r="L25" s="36"/>
      <c r="M25" s="31"/>
      <c r="N25" s="29"/>
      <c r="O25" s="6"/>
    </row>
    <row r="26" spans="1:15" ht="15.75">
      <c r="A26" s="28"/>
      <c r="B26" s="29" t="s">
        <v>16</v>
      </c>
      <c r="C26" s="29"/>
      <c r="D26" s="37" t="s">
        <v>171</v>
      </c>
      <c r="E26" s="37"/>
      <c r="F26" s="30"/>
      <c r="G26" s="37" t="s">
        <v>188</v>
      </c>
      <c r="H26" s="30"/>
      <c r="I26" s="37" t="s">
        <v>201</v>
      </c>
      <c r="J26" s="30"/>
      <c r="K26" s="37"/>
      <c r="L26" s="31"/>
      <c r="M26" s="31"/>
      <c r="N26" s="29"/>
      <c r="O26" s="6"/>
    </row>
    <row r="27" spans="1:15" ht="15.75">
      <c r="A27" s="28"/>
      <c r="B27" s="29"/>
      <c r="C27" s="29"/>
      <c r="D27" s="29"/>
      <c r="E27" s="29"/>
      <c r="F27" s="30"/>
      <c r="G27" s="30"/>
      <c r="H27" s="30"/>
      <c r="I27" s="30"/>
      <c r="J27" s="30"/>
      <c r="K27" s="30"/>
      <c r="L27" s="31"/>
      <c r="M27" s="31"/>
      <c r="N27" s="29"/>
      <c r="O27" s="6"/>
    </row>
    <row r="28" spans="1:15" ht="15.75">
      <c r="A28" s="28"/>
      <c r="B28" s="29" t="s">
        <v>17</v>
      </c>
      <c r="C28" s="29"/>
      <c r="D28" s="38" t="s">
        <v>172</v>
      </c>
      <c r="E28" s="38">
        <v>168668</v>
      </c>
      <c r="F28" s="39"/>
      <c r="G28" s="38">
        <v>16580</v>
      </c>
      <c r="H28" s="38"/>
      <c r="I28" s="38">
        <v>9750</v>
      </c>
      <c r="J28" s="38"/>
      <c r="K28" s="38"/>
      <c r="L28" s="39" t="s">
        <v>172</v>
      </c>
      <c r="M28" s="38">
        <f>K28+I28+G28+E28</f>
        <v>194998</v>
      </c>
      <c r="N28" s="40"/>
      <c r="O28" s="6"/>
    </row>
    <row r="29" spans="1:15" ht="15.75">
      <c r="A29" s="28"/>
      <c r="B29" s="29" t="s">
        <v>18</v>
      </c>
      <c r="C29" s="41">
        <f>M28/M29</f>
        <v>1</v>
      </c>
      <c r="D29" s="38" t="s">
        <v>173</v>
      </c>
      <c r="E29" s="38">
        <v>168668</v>
      </c>
      <c r="F29" s="39"/>
      <c r="G29" s="38">
        <v>16580</v>
      </c>
      <c r="H29" s="38"/>
      <c r="I29" s="38">
        <v>9750</v>
      </c>
      <c r="J29" s="42"/>
      <c r="K29" s="38"/>
      <c r="L29" s="39" t="s">
        <v>172</v>
      </c>
      <c r="M29" s="38">
        <f>K29+I29+G29+E29</f>
        <v>194998</v>
      </c>
      <c r="N29" s="40"/>
      <c r="O29" s="6"/>
    </row>
    <row r="30" spans="1:15" ht="15.75">
      <c r="A30" s="43"/>
      <c r="B30" s="32" t="s">
        <v>19</v>
      </c>
      <c r="C30" s="44">
        <f>M29/M30</f>
        <v>1</v>
      </c>
      <c r="D30" s="45" t="s">
        <v>172</v>
      </c>
      <c r="E30" s="45">
        <v>168668</v>
      </c>
      <c r="F30" s="46"/>
      <c r="G30" s="45">
        <v>16580</v>
      </c>
      <c r="H30" s="45"/>
      <c r="I30" s="45">
        <v>9750</v>
      </c>
      <c r="J30" s="45"/>
      <c r="K30" s="45"/>
      <c r="L30" s="46" t="s">
        <v>172</v>
      </c>
      <c r="M30" s="45">
        <f>K30+I30+G30+E30</f>
        <v>194998</v>
      </c>
      <c r="N30" s="29"/>
      <c r="O30" s="6"/>
    </row>
    <row r="31" spans="1:15" ht="15.75">
      <c r="A31" s="28"/>
      <c r="B31" s="29" t="s">
        <v>20</v>
      </c>
      <c r="C31" s="47"/>
      <c r="D31" s="37" t="s">
        <v>174</v>
      </c>
      <c r="E31" s="37"/>
      <c r="F31" s="29"/>
      <c r="G31" s="37" t="s">
        <v>189</v>
      </c>
      <c r="H31" s="37"/>
      <c r="I31" s="37" t="s">
        <v>202</v>
      </c>
      <c r="J31" s="37"/>
      <c r="K31" s="37"/>
      <c r="L31" s="31"/>
      <c r="M31" s="31"/>
      <c r="N31" s="29"/>
      <c r="O31" s="6"/>
    </row>
    <row r="32" spans="1:15" ht="15.75">
      <c r="A32" s="28"/>
      <c r="B32" s="29" t="s">
        <v>21</v>
      </c>
      <c r="C32" s="47"/>
      <c r="D32" s="48" t="s">
        <v>175</v>
      </c>
      <c r="E32" s="49">
        <v>0.0436</v>
      </c>
      <c r="F32" s="50"/>
      <c r="G32" s="48">
        <v>0.0478375</v>
      </c>
      <c r="H32" s="48"/>
      <c r="I32" s="48">
        <v>0.0578375</v>
      </c>
      <c r="J32" s="51"/>
      <c r="K32" s="48"/>
      <c r="L32" s="31"/>
      <c r="M32" s="51">
        <f>SUMPRODUCT(E32:K32,E30:K30)/M30</f>
        <v>0.04467218215058616</v>
      </c>
      <c r="N32" s="29"/>
      <c r="O32" s="6"/>
    </row>
    <row r="33" spans="1:15" ht="15.75">
      <c r="A33" s="28"/>
      <c r="B33" s="29" t="s">
        <v>22</v>
      </c>
      <c r="C33" s="47"/>
      <c r="D33" s="48">
        <v>0.0368</v>
      </c>
      <c r="E33" s="48"/>
      <c r="F33" s="50"/>
      <c r="G33" s="48" t="s">
        <v>175</v>
      </c>
      <c r="H33" s="48"/>
      <c r="I33" s="48" t="s">
        <v>175</v>
      </c>
      <c r="J33" s="51"/>
      <c r="K33" s="48"/>
      <c r="L33" s="31"/>
      <c r="M33" s="51"/>
      <c r="N33" s="29"/>
      <c r="O33" s="6"/>
    </row>
    <row r="34" spans="1:15" ht="15.75">
      <c r="A34" s="28"/>
      <c r="B34" s="29" t="s">
        <v>23</v>
      </c>
      <c r="C34" s="47"/>
      <c r="D34" s="48" t="s">
        <v>175</v>
      </c>
      <c r="E34" s="48"/>
      <c r="F34" s="48"/>
      <c r="G34" s="48">
        <v>0.04955</v>
      </c>
      <c r="H34" s="48"/>
      <c r="I34" s="48">
        <v>0.05955</v>
      </c>
      <c r="J34" s="51"/>
      <c r="K34" s="48"/>
      <c r="L34" s="31"/>
      <c r="M34" s="31"/>
      <c r="N34" s="29"/>
      <c r="O34" s="6"/>
    </row>
    <row r="35" spans="1:15" ht="15.75">
      <c r="A35" s="28"/>
      <c r="B35" s="29" t="s">
        <v>24</v>
      </c>
      <c r="C35" s="47"/>
      <c r="D35" s="48">
        <v>0.0377</v>
      </c>
      <c r="E35" s="48"/>
      <c r="F35" s="50"/>
      <c r="G35" s="48" t="s">
        <v>175</v>
      </c>
      <c r="H35" s="48"/>
      <c r="I35" s="48" t="s">
        <v>175</v>
      </c>
      <c r="J35" s="51"/>
      <c r="K35" s="48"/>
      <c r="L35" s="31"/>
      <c r="M35" s="31"/>
      <c r="N35" s="29"/>
      <c r="O35" s="6"/>
    </row>
    <row r="36" spans="1:15" ht="15.75">
      <c r="A36" s="28"/>
      <c r="B36" s="29" t="s">
        <v>25</v>
      </c>
      <c r="C36" s="47"/>
      <c r="D36" s="37" t="s">
        <v>176</v>
      </c>
      <c r="E36" s="37"/>
      <c r="F36" s="29"/>
      <c r="G36" s="37" t="s">
        <v>176</v>
      </c>
      <c r="H36" s="37"/>
      <c r="I36" s="37" t="s">
        <v>176</v>
      </c>
      <c r="J36" s="37"/>
      <c r="K36" s="37"/>
      <c r="L36" s="31"/>
      <c r="M36" s="31"/>
      <c r="N36" s="29"/>
      <c r="O36" s="6"/>
    </row>
    <row r="37" spans="1:15" ht="15.75">
      <c r="A37" s="28"/>
      <c r="B37" s="29" t="s">
        <v>26</v>
      </c>
      <c r="C37" s="29"/>
      <c r="D37" s="52">
        <v>39036</v>
      </c>
      <c r="E37" s="52"/>
      <c r="F37" s="29"/>
      <c r="G37" s="52">
        <v>39036</v>
      </c>
      <c r="H37" s="52"/>
      <c r="I37" s="52">
        <v>39036</v>
      </c>
      <c r="J37" s="37"/>
      <c r="K37" s="37"/>
      <c r="L37" s="31"/>
      <c r="M37" s="31"/>
      <c r="N37" s="29"/>
      <c r="O37" s="6"/>
    </row>
    <row r="38" spans="1:15" ht="15.75">
      <c r="A38" s="28"/>
      <c r="B38" s="29" t="s">
        <v>27</v>
      </c>
      <c r="C38" s="29"/>
      <c r="D38" s="37" t="s">
        <v>177</v>
      </c>
      <c r="E38" s="37"/>
      <c r="F38" s="29"/>
      <c r="G38" s="37" t="s">
        <v>190</v>
      </c>
      <c r="H38" s="37"/>
      <c r="I38" s="37" t="s">
        <v>203</v>
      </c>
      <c r="J38" s="37"/>
      <c r="K38" s="37"/>
      <c r="L38" s="31"/>
      <c r="M38" s="31"/>
      <c r="N38" s="29"/>
      <c r="O38" s="6"/>
    </row>
    <row r="39" spans="1:15" ht="15.75">
      <c r="A39" s="28"/>
      <c r="B39" s="29"/>
      <c r="C39" s="29"/>
      <c r="D39" s="29"/>
      <c r="E39" s="53"/>
      <c r="F39" s="53"/>
      <c r="G39" s="29"/>
      <c r="H39" s="53"/>
      <c r="I39" s="53"/>
      <c r="J39" s="53"/>
      <c r="K39" s="53"/>
      <c r="L39" s="53"/>
      <c r="M39" s="53"/>
      <c r="N39" s="29"/>
      <c r="O39" s="6"/>
    </row>
    <row r="40" spans="1:15" ht="15.75">
      <c r="A40" s="28"/>
      <c r="B40" s="29" t="s">
        <v>28</v>
      </c>
      <c r="C40" s="29"/>
      <c r="D40" s="29"/>
      <c r="E40" s="29"/>
      <c r="F40" s="29"/>
      <c r="G40" s="29"/>
      <c r="H40" s="29"/>
      <c r="I40" s="50"/>
      <c r="J40" s="29"/>
      <c r="K40" s="29"/>
      <c r="L40" s="29"/>
      <c r="M40" s="51">
        <f>(I28+G28)/(E28)</f>
        <v>0.15610548533213175</v>
      </c>
      <c r="N40" s="29"/>
      <c r="O40" s="6"/>
    </row>
    <row r="41" spans="1:15" ht="15.75">
      <c r="A41" s="28"/>
      <c r="B41" s="29" t="s">
        <v>29</v>
      </c>
      <c r="C41" s="29"/>
      <c r="D41" s="29"/>
      <c r="E41" s="29"/>
      <c r="F41" s="29"/>
      <c r="G41" s="29"/>
      <c r="H41" s="29"/>
      <c r="I41" s="50"/>
      <c r="J41" s="29"/>
      <c r="K41" s="29"/>
      <c r="L41" s="29"/>
      <c r="M41" s="51">
        <f>(I30+G30)/(E30)</f>
        <v>0.15610548533213175</v>
      </c>
      <c r="N41" s="29"/>
      <c r="O41" s="6"/>
    </row>
    <row r="42" spans="1:15" ht="15.75">
      <c r="A42" s="28"/>
      <c r="B42" s="29" t="s">
        <v>30</v>
      </c>
      <c r="C42" s="29"/>
      <c r="D42" s="29"/>
      <c r="E42" s="29"/>
      <c r="F42" s="29"/>
      <c r="G42" s="29"/>
      <c r="H42" s="29"/>
      <c r="I42" s="29"/>
      <c r="J42" s="29"/>
      <c r="K42" s="37" t="s">
        <v>168</v>
      </c>
      <c r="L42" s="37" t="s">
        <v>216</v>
      </c>
      <c r="M42" s="38">
        <v>60336</v>
      </c>
      <c r="N42" s="29"/>
      <c r="O42" s="6"/>
    </row>
    <row r="43" spans="1:15" ht="15.75">
      <c r="A43" s="28"/>
      <c r="B43" s="29"/>
      <c r="C43" s="29"/>
      <c r="D43" s="29"/>
      <c r="E43" s="29"/>
      <c r="F43" s="29"/>
      <c r="G43" s="29"/>
      <c r="H43" s="29"/>
      <c r="I43" s="29"/>
      <c r="J43" s="29"/>
      <c r="K43" s="29"/>
      <c r="L43" s="29"/>
      <c r="M43" s="54"/>
      <c r="N43" s="29"/>
      <c r="O43" s="6"/>
    </row>
    <row r="44" spans="1:15" ht="15.75">
      <c r="A44" s="28"/>
      <c r="B44" s="29" t="s">
        <v>31</v>
      </c>
      <c r="C44" s="29"/>
      <c r="D44" s="29"/>
      <c r="E44" s="29"/>
      <c r="F44" s="29"/>
      <c r="G44" s="29"/>
      <c r="H44" s="29"/>
      <c r="I44" s="29"/>
      <c r="J44" s="29"/>
      <c r="K44" s="37"/>
      <c r="L44" s="37"/>
      <c r="M44" s="37" t="s">
        <v>219</v>
      </c>
      <c r="N44" s="29"/>
      <c r="O44" s="6"/>
    </row>
    <row r="45" spans="1:15" ht="15.75">
      <c r="A45" s="43"/>
      <c r="B45" s="32" t="s">
        <v>32</v>
      </c>
      <c r="C45" s="32"/>
      <c r="D45" s="32"/>
      <c r="E45" s="32"/>
      <c r="F45" s="32"/>
      <c r="G45" s="32"/>
      <c r="H45" s="32"/>
      <c r="I45" s="32"/>
      <c r="J45" s="32"/>
      <c r="K45" s="55"/>
      <c r="L45" s="55"/>
      <c r="M45" s="56">
        <v>37575</v>
      </c>
      <c r="N45" s="32"/>
      <c r="O45" s="6"/>
    </row>
    <row r="46" spans="1:15" ht="15.75">
      <c r="A46" s="28"/>
      <c r="B46" s="29" t="s">
        <v>33</v>
      </c>
      <c r="C46" s="29"/>
      <c r="D46" s="29"/>
      <c r="E46" s="29"/>
      <c r="F46" s="29"/>
      <c r="G46" s="29"/>
      <c r="H46" s="29"/>
      <c r="I46" s="31"/>
      <c r="J46" s="29">
        <f>M46-K46+1</f>
        <v>92</v>
      </c>
      <c r="K46" s="58">
        <v>37391</v>
      </c>
      <c r="L46" s="59"/>
      <c r="M46" s="58">
        <v>37482</v>
      </c>
      <c r="N46" s="29"/>
      <c r="O46" s="6"/>
    </row>
    <row r="47" spans="1:15" ht="15.75">
      <c r="A47" s="28"/>
      <c r="B47" s="29" t="s">
        <v>34</v>
      </c>
      <c r="C47" s="29"/>
      <c r="D47" s="29"/>
      <c r="E47" s="29"/>
      <c r="F47" s="29"/>
      <c r="G47" s="29"/>
      <c r="H47" s="29"/>
      <c r="I47" s="31"/>
      <c r="J47" s="29">
        <f>M47-K47+1</f>
        <v>92</v>
      </c>
      <c r="K47" s="58">
        <v>37483</v>
      </c>
      <c r="L47" s="59"/>
      <c r="M47" s="58">
        <v>37574</v>
      </c>
      <c r="N47" s="29"/>
      <c r="O47" s="6"/>
    </row>
    <row r="48" spans="1:15" ht="15.75">
      <c r="A48" s="28"/>
      <c r="B48" s="29" t="s">
        <v>35</v>
      </c>
      <c r="C48" s="29"/>
      <c r="D48" s="29"/>
      <c r="E48" s="29"/>
      <c r="F48" s="29"/>
      <c r="G48" s="29"/>
      <c r="H48" s="29"/>
      <c r="I48" s="29"/>
      <c r="J48" s="29"/>
      <c r="K48" s="58"/>
      <c r="L48" s="59"/>
      <c r="M48" s="58" t="s">
        <v>220</v>
      </c>
      <c r="N48" s="29"/>
      <c r="O48" s="6"/>
    </row>
    <row r="49" spans="1:15" ht="15.75">
      <c r="A49" s="28"/>
      <c r="B49" s="29" t="s">
        <v>36</v>
      </c>
      <c r="C49" s="29"/>
      <c r="D49" s="29"/>
      <c r="E49" s="29"/>
      <c r="F49" s="29"/>
      <c r="G49" s="29"/>
      <c r="H49" s="29"/>
      <c r="I49" s="29"/>
      <c r="J49" s="29"/>
      <c r="K49" s="58"/>
      <c r="L49" s="59"/>
      <c r="M49" s="58" t="s">
        <v>221</v>
      </c>
      <c r="N49" s="29"/>
      <c r="O49" s="6"/>
    </row>
    <row r="50" spans="1:15" ht="15.75">
      <c r="A50" s="28"/>
      <c r="B50" s="29" t="s">
        <v>37</v>
      </c>
      <c r="C50" s="29"/>
      <c r="D50" s="29"/>
      <c r="E50" s="29"/>
      <c r="F50" s="29"/>
      <c r="G50" s="29"/>
      <c r="H50" s="29"/>
      <c r="I50" s="29"/>
      <c r="J50" s="29"/>
      <c r="K50" s="58"/>
      <c r="L50" s="59"/>
      <c r="M50" s="58">
        <v>37564</v>
      </c>
      <c r="N50" s="29"/>
      <c r="O50" s="6"/>
    </row>
    <row r="51" spans="1:15" ht="15.75">
      <c r="A51" s="28"/>
      <c r="B51" s="29"/>
      <c r="C51" s="29"/>
      <c r="D51" s="29"/>
      <c r="E51" s="29"/>
      <c r="F51" s="29"/>
      <c r="G51" s="29"/>
      <c r="H51" s="29"/>
      <c r="I51" s="29"/>
      <c r="J51" s="29"/>
      <c r="K51" s="29"/>
      <c r="L51" s="29"/>
      <c r="M51" s="60"/>
      <c r="N51" s="29"/>
      <c r="O51" s="6"/>
    </row>
    <row r="52" spans="1:15" ht="15.75">
      <c r="A52" s="7"/>
      <c r="B52" s="9"/>
      <c r="C52" s="9"/>
      <c r="D52" s="9"/>
      <c r="E52" s="9"/>
      <c r="F52" s="9"/>
      <c r="G52" s="9"/>
      <c r="H52" s="9"/>
      <c r="I52" s="9"/>
      <c r="J52" s="9"/>
      <c r="K52" s="9"/>
      <c r="L52" s="9"/>
      <c r="M52" s="61"/>
      <c r="N52" s="9"/>
      <c r="O52" s="6"/>
    </row>
    <row r="53" spans="1:15" ht="16.5" thickBot="1">
      <c r="A53" s="134"/>
      <c r="B53" s="135" t="s">
        <v>237</v>
      </c>
      <c r="C53" s="136"/>
      <c r="D53" s="136"/>
      <c r="E53" s="136"/>
      <c r="F53" s="136"/>
      <c r="G53" s="136"/>
      <c r="H53" s="136"/>
      <c r="I53" s="136"/>
      <c r="J53" s="136"/>
      <c r="K53" s="136"/>
      <c r="L53" s="136"/>
      <c r="M53" s="137"/>
      <c r="N53" s="138"/>
      <c r="O53" s="6"/>
    </row>
    <row r="54" spans="1:15" ht="15.75">
      <c r="A54" s="2"/>
      <c r="B54" s="5"/>
      <c r="C54" s="5"/>
      <c r="D54" s="5"/>
      <c r="E54" s="5"/>
      <c r="F54" s="5"/>
      <c r="G54" s="5"/>
      <c r="H54" s="5"/>
      <c r="I54" s="5"/>
      <c r="J54" s="5"/>
      <c r="K54" s="5"/>
      <c r="L54" s="5"/>
      <c r="M54" s="62"/>
      <c r="N54" s="5"/>
      <c r="O54" s="6"/>
    </row>
    <row r="55" spans="1:15" ht="15.75">
      <c r="A55" s="7"/>
      <c r="B55" s="63" t="s">
        <v>39</v>
      </c>
      <c r="C55" s="15"/>
      <c r="D55" s="15"/>
      <c r="E55" s="9"/>
      <c r="F55" s="9"/>
      <c r="G55" s="9"/>
      <c r="H55" s="9"/>
      <c r="I55" s="9"/>
      <c r="J55" s="9"/>
      <c r="K55" s="9"/>
      <c r="L55" s="9"/>
      <c r="M55" s="64"/>
      <c r="N55" s="9"/>
      <c r="O55" s="6"/>
    </row>
    <row r="56" spans="1:15" ht="15.75">
      <c r="A56" s="7"/>
      <c r="B56" s="15"/>
      <c r="C56" s="15"/>
      <c r="D56" s="15"/>
      <c r="E56" s="9"/>
      <c r="F56" s="9"/>
      <c r="G56" s="9"/>
      <c r="H56" s="9"/>
      <c r="I56" s="9"/>
      <c r="J56" s="9"/>
      <c r="K56" s="9"/>
      <c r="L56" s="9"/>
      <c r="M56" s="64"/>
      <c r="N56" s="9"/>
      <c r="O56" s="6"/>
    </row>
    <row r="57" spans="1:15" s="156" customFormat="1" ht="47.25">
      <c r="A57" s="150"/>
      <c r="B57" s="151" t="s">
        <v>40</v>
      </c>
      <c r="C57" s="152" t="s">
        <v>167</v>
      </c>
      <c r="D57" s="152"/>
      <c r="E57" s="152" t="s">
        <v>180</v>
      </c>
      <c r="F57" s="152"/>
      <c r="G57" s="152" t="s">
        <v>191</v>
      </c>
      <c r="H57" s="152"/>
      <c r="I57" s="152" t="s">
        <v>204</v>
      </c>
      <c r="J57" s="152"/>
      <c r="K57" s="152" t="s">
        <v>209</v>
      </c>
      <c r="L57" s="152"/>
      <c r="M57" s="153" t="s">
        <v>222</v>
      </c>
      <c r="N57" s="154"/>
      <c r="O57" s="155"/>
    </row>
    <row r="58" spans="1:15" ht="15.75">
      <c r="A58" s="28"/>
      <c r="B58" s="29" t="s">
        <v>41</v>
      </c>
      <c r="C58" s="65">
        <v>73021</v>
      </c>
      <c r="D58" s="65"/>
      <c r="E58" s="65">
        <v>79336</v>
      </c>
      <c r="F58" s="65"/>
      <c r="G58" s="65">
        <f>12518+54</f>
        <v>12572</v>
      </c>
      <c r="H58" s="65"/>
      <c r="I58" s="65">
        <v>9383</v>
      </c>
      <c r="J58" s="65"/>
      <c r="K58" s="65">
        <v>0</v>
      </c>
      <c r="L58" s="65"/>
      <c r="M58" s="66">
        <f>E58-G58+I58-K58</f>
        <v>76147</v>
      </c>
      <c r="N58" s="29"/>
      <c r="O58" s="6"/>
    </row>
    <row r="59" spans="1:15" ht="15.75">
      <c r="A59" s="28"/>
      <c r="B59" s="29" t="s">
        <v>42</v>
      </c>
      <c r="C59" s="65">
        <v>506</v>
      </c>
      <c r="D59" s="65"/>
      <c r="E59" s="65">
        <v>0</v>
      </c>
      <c r="F59" s="65"/>
      <c r="G59" s="65">
        <v>43</v>
      </c>
      <c r="H59" s="65"/>
      <c r="I59" s="65">
        <v>43</v>
      </c>
      <c r="J59" s="65"/>
      <c r="K59" s="65">
        <v>0</v>
      </c>
      <c r="L59" s="65"/>
      <c r="M59" s="66">
        <f>E59-G59+I59-K59</f>
        <v>0</v>
      </c>
      <c r="N59" s="29"/>
      <c r="O59" s="6"/>
    </row>
    <row r="60" spans="1:15" ht="15.75">
      <c r="A60" s="28"/>
      <c r="B60" s="29"/>
      <c r="C60" s="65"/>
      <c r="D60" s="65"/>
      <c r="E60" s="65"/>
      <c r="F60" s="65"/>
      <c r="G60" s="65"/>
      <c r="H60" s="65"/>
      <c r="I60" s="65"/>
      <c r="J60" s="65"/>
      <c r="K60" s="65"/>
      <c r="L60" s="65"/>
      <c r="M60" s="66"/>
      <c r="N60" s="29"/>
      <c r="O60" s="6"/>
    </row>
    <row r="61" spans="1:15" ht="15.75">
      <c r="A61" s="28"/>
      <c r="B61" s="29" t="s">
        <v>43</v>
      </c>
      <c r="C61" s="65">
        <f>SUM(C58:C60)</f>
        <v>73527</v>
      </c>
      <c r="D61" s="65"/>
      <c r="E61" s="65">
        <f>SUM(E58:E60)</f>
        <v>79336</v>
      </c>
      <c r="F61" s="65"/>
      <c r="G61" s="65">
        <f>SUM(G58:G60)</f>
        <v>12615</v>
      </c>
      <c r="H61" s="65"/>
      <c r="I61" s="65">
        <f>SUM(I58:I60)</f>
        <v>9426</v>
      </c>
      <c r="J61" s="65"/>
      <c r="K61" s="65">
        <f>SUM(K58:K60)</f>
        <v>0</v>
      </c>
      <c r="L61" s="65"/>
      <c r="M61" s="67">
        <f>SUM(M58:M60)</f>
        <v>76147</v>
      </c>
      <c r="N61" s="29"/>
      <c r="O61" s="6"/>
    </row>
    <row r="62" spans="1:15" ht="15.75">
      <c r="A62" s="28"/>
      <c r="B62" s="29"/>
      <c r="C62" s="65"/>
      <c r="D62" s="65"/>
      <c r="E62" s="65"/>
      <c r="F62" s="65"/>
      <c r="G62" s="65"/>
      <c r="H62" s="65"/>
      <c r="I62" s="65"/>
      <c r="J62" s="65"/>
      <c r="K62" s="65"/>
      <c r="L62" s="65"/>
      <c r="M62" s="67"/>
      <c r="N62" s="29"/>
      <c r="O62" s="6"/>
    </row>
    <row r="63" spans="1:15" ht="15.75">
      <c r="A63" s="7"/>
      <c r="B63" s="144" t="s">
        <v>44</v>
      </c>
      <c r="C63" s="68"/>
      <c r="D63" s="68"/>
      <c r="E63" s="68"/>
      <c r="F63" s="68"/>
      <c r="G63" s="69"/>
      <c r="H63" s="68"/>
      <c r="I63" s="68"/>
      <c r="J63" s="68"/>
      <c r="K63" s="68"/>
      <c r="L63" s="68"/>
      <c r="M63" s="70"/>
      <c r="N63" s="9"/>
      <c r="O63" s="6"/>
    </row>
    <row r="64" spans="1:15" ht="15.75">
      <c r="A64" s="7"/>
      <c r="B64" s="9"/>
      <c r="C64" s="68"/>
      <c r="D64" s="68"/>
      <c r="E64" s="68"/>
      <c r="F64" s="68"/>
      <c r="G64" s="68"/>
      <c r="H64" s="68"/>
      <c r="I64" s="68"/>
      <c r="J64" s="68"/>
      <c r="K64" s="68"/>
      <c r="L64" s="68"/>
      <c r="M64" s="70"/>
      <c r="N64" s="9"/>
      <c r="O64" s="6"/>
    </row>
    <row r="65" spans="1:15" ht="15.75">
      <c r="A65" s="28"/>
      <c r="B65" s="29" t="s">
        <v>41</v>
      </c>
      <c r="C65" s="65">
        <v>79997</v>
      </c>
      <c r="D65" s="65"/>
      <c r="E65" s="66">
        <v>91576</v>
      </c>
      <c r="F65" s="65"/>
      <c r="G65" s="65">
        <f>14558+967</f>
        <v>15525</v>
      </c>
      <c r="H65" s="65"/>
      <c r="I65" s="65">
        <v>16825</v>
      </c>
      <c r="J65" s="65"/>
      <c r="K65" s="65"/>
      <c r="L65" s="65"/>
      <c r="M65" s="66">
        <f>E65-G65+I65-K65</f>
        <v>92876</v>
      </c>
      <c r="N65" s="29"/>
      <c r="O65" s="6"/>
    </row>
    <row r="66" spans="1:15" ht="15.75">
      <c r="A66" s="28"/>
      <c r="B66" s="29" t="s">
        <v>42</v>
      </c>
      <c r="C66" s="65">
        <v>611</v>
      </c>
      <c r="D66" s="65"/>
      <c r="E66" s="66">
        <v>0</v>
      </c>
      <c r="F66" s="65"/>
      <c r="G66" s="65">
        <v>72</v>
      </c>
      <c r="H66" s="65"/>
      <c r="I66" s="65">
        <v>72</v>
      </c>
      <c r="J66" s="65"/>
      <c r="K66" s="65"/>
      <c r="L66" s="65"/>
      <c r="M66" s="66">
        <f>E66-G66+I66-K66</f>
        <v>0</v>
      </c>
      <c r="N66" s="29"/>
      <c r="O66" s="6"/>
    </row>
    <row r="67" spans="1:15" ht="15.75">
      <c r="A67" s="28"/>
      <c r="B67" s="65"/>
      <c r="C67" s="65"/>
      <c r="D67" s="65"/>
      <c r="E67" s="66"/>
      <c r="F67" s="65"/>
      <c r="G67" s="65"/>
      <c r="H67" s="65"/>
      <c r="I67" s="65"/>
      <c r="J67" s="65"/>
      <c r="K67" s="65"/>
      <c r="L67" s="65"/>
      <c r="M67" s="66"/>
      <c r="N67" s="29"/>
      <c r="O67" s="6"/>
    </row>
    <row r="68" spans="1:15" ht="15.75">
      <c r="A68" s="28"/>
      <c r="B68" s="29" t="s">
        <v>43</v>
      </c>
      <c r="C68" s="65">
        <f>SUM(C65:C67)</f>
        <v>80608</v>
      </c>
      <c r="D68" s="65"/>
      <c r="E68" s="65">
        <f>E65</f>
        <v>91576</v>
      </c>
      <c r="F68" s="65"/>
      <c r="G68" s="65">
        <f>SUM(G65:G67)</f>
        <v>15597</v>
      </c>
      <c r="H68" s="65"/>
      <c r="I68" s="65">
        <f>SUM(I65:I67)</f>
        <v>16897</v>
      </c>
      <c r="J68" s="65"/>
      <c r="K68" s="65">
        <f>SUM(K65:K67)</f>
        <v>0</v>
      </c>
      <c r="L68" s="65"/>
      <c r="M68" s="65">
        <f>SUM(M65:M67)</f>
        <v>92876</v>
      </c>
      <c r="N68" s="29"/>
      <c r="O68" s="6"/>
    </row>
    <row r="69" spans="1:15" ht="15.75">
      <c r="A69" s="28"/>
      <c r="B69" s="29"/>
      <c r="C69" s="65"/>
      <c r="D69" s="65"/>
      <c r="E69" s="67"/>
      <c r="F69" s="65"/>
      <c r="G69" s="65"/>
      <c r="H69" s="65"/>
      <c r="I69" s="65"/>
      <c r="J69" s="65"/>
      <c r="K69" s="65"/>
      <c r="L69" s="65"/>
      <c r="M69" s="67"/>
      <c r="N69" s="29"/>
      <c r="O69" s="6"/>
    </row>
    <row r="70" spans="1:15" ht="15.75">
      <c r="A70" s="28"/>
      <c r="B70" s="29" t="s">
        <v>45</v>
      </c>
      <c r="C70" s="65">
        <v>0</v>
      </c>
      <c r="D70" s="65"/>
      <c r="E70" s="65">
        <v>0</v>
      </c>
      <c r="F70" s="65"/>
      <c r="G70" s="65"/>
      <c r="H70" s="65"/>
      <c r="I70" s="65"/>
      <c r="J70" s="65"/>
      <c r="K70" s="65"/>
      <c r="L70" s="65"/>
      <c r="M70" s="65">
        <f>E70+G70</f>
        <v>0</v>
      </c>
      <c r="N70" s="29"/>
      <c r="O70" s="6"/>
    </row>
    <row r="71" spans="1:15" ht="15.75">
      <c r="A71" s="28"/>
      <c r="B71" s="29" t="s">
        <v>46</v>
      </c>
      <c r="C71" s="65">
        <v>0</v>
      </c>
      <c r="D71" s="65"/>
      <c r="E71" s="67">
        <v>2926</v>
      </c>
      <c r="F71" s="65"/>
      <c r="G71" s="65"/>
      <c r="H71" s="65"/>
      <c r="I71" s="65">
        <v>0</v>
      </c>
      <c r="J71" s="65"/>
      <c r="K71" s="65"/>
      <c r="L71" s="65"/>
      <c r="M71" s="67">
        <f>E71+I71</f>
        <v>2926</v>
      </c>
      <c r="N71" s="29"/>
      <c r="O71" s="6"/>
    </row>
    <row r="72" spans="1:16" ht="15.75">
      <c r="A72" s="28"/>
      <c r="B72" s="29" t="s">
        <v>47</v>
      </c>
      <c r="C72" s="65">
        <v>40958</v>
      </c>
      <c r="D72" s="65"/>
      <c r="E72" s="67">
        <v>21715</v>
      </c>
      <c r="F72" s="65"/>
      <c r="G72" s="65">
        <f>G68+G61</f>
        <v>28212</v>
      </c>
      <c r="H72" s="65"/>
      <c r="I72" s="65">
        <f>-I68-I61</f>
        <v>-26323</v>
      </c>
      <c r="J72" s="65"/>
      <c r="K72" s="65"/>
      <c r="L72" s="65"/>
      <c r="M72" s="67">
        <f>E72+G88+I72</f>
        <v>22583</v>
      </c>
      <c r="N72" s="29"/>
      <c r="O72" s="6"/>
      <c r="P72" s="131"/>
    </row>
    <row r="73" spans="1:16" ht="15.75">
      <c r="A73" s="28"/>
      <c r="B73" s="29" t="s">
        <v>48</v>
      </c>
      <c r="C73" s="65">
        <v>0</v>
      </c>
      <c r="D73" s="65"/>
      <c r="E73" s="67">
        <v>2466</v>
      </c>
      <c r="F73" s="65"/>
      <c r="G73" s="65"/>
      <c r="H73" s="65"/>
      <c r="I73" s="65">
        <v>-1021</v>
      </c>
      <c r="J73" s="65"/>
      <c r="K73" s="65"/>
      <c r="L73" s="65"/>
      <c r="M73" s="67">
        <f>-I73+E73</f>
        <v>3487</v>
      </c>
      <c r="N73" s="29"/>
      <c r="O73" s="6"/>
      <c r="P73" s="132"/>
    </row>
    <row r="74" spans="1:15" ht="15.75">
      <c r="A74" s="28"/>
      <c r="B74" s="29" t="s">
        <v>49</v>
      </c>
      <c r="C74" s="65">
        <v>-95</v>
      </c>
      <c r="D74" s="65"/>
      <c r="E74" s="67">
        <v>-95</v>
      </c>
      <c r="F74" s="65"/>
      <c r="G74" s="65">
        <v>0</v>
      </c>
      <c r="H74" s="65"/>
      <c r="I74" s="65"/>
      <c r="J74" s="65"/>
      <c r="K74" s="65"/>
      <c r="L74" s="65"/>
      <c r="M74" s="67">
        <f>E74+G74</f>
        <v>-95</v>
      </c>
      <c r="N74" s="29"/>
      <c r="O74" s="6"/>
    </row>
    <row r="75" spans="1:16" ht="15.75">
      <c r="A75" s="28"/>
      <c r="B75" s="29" t="s">
        <v>50</v>
      </c>
      <c r="C75" s="65">
        <v>0</v>
      </c>
      <c r="D75" s="65"/>
      <c r="E75" s="67">
        <v>0</v>
      </c>
      <c r="F75" s="65"/>
      <c r="G75" s="65"/>
      <c r="H75" s="65"/>
      <c r="I75" s="71"/>
      <c r="J75" s="65"/>
      <c r="K75" s="65"/>
      <c r="L75" s="65"/>
      <c r="M75" s="67">
        <v>0</v>
      </c>
      <c r="N75" s="29"/>
      <c r="O75" s="6"/>
      <c r="P75" s="132"/>
    </row>
    <row r="76" spans="1:15" ht="15.75">
      <c r="A76" s="28"/>
      <c r="B76" s="29" t="s">
        <v>19</v>
      </c>
      <c r="C76" s="67">
        <f>SUM(C68:C74)+C61</f>
        <v>194998</v>
      </c>
      <c r="D76" s="67"/>
      <c r="E76" s="67">
        <f>SUM(E68:E75)+E61</f>
        <v>197924</v>
      </c>
      <c r="F76" s="65"/>
      <c r="G76" s="65">
        <f>G72-G74</f>
        <v>28212</v>
      </c>
      <c r="H76" s="65"/>
      <c r="I76" s="65"/>
      <c r="J76" s="65"/>
      <c r="K76" s="65"/>
      <c r="L76" s="65"/>
      <c r="M76" s="67">
        <f>SUM(M68:M75)+M61</f>
        <v>197924</v>
      </c>
      <c r="N76" s="29"/>
      <c r="O76" s="6"/>
    </row>
    <row r="77" spans="1:16" ht="15.75">
      <c r="A77" s="28"/>
      <c r="B77" s="65"/>
      <c r="C77" s="65"/>
      <c r="D77" s="65"/>
      <c r="E77" s="65"/>
      <c r="F77" s="65"/>
      <c r="G77" s="65"/>
      <c r="H77" s="65"/>
      <c r="I77" s="65"/>
      <c r="J77" s="65"/>
      <c r="K77" s="65"/>
      <c r="L77" s="65"/>
      <c r="M77" s="65"/>
      <c r="N77" s="29"/>
      <c r="O77" s="6"/>
      <c r="P77" s="132"/>
    </row>
    <row r="78" spans="1:16" ht="15.75">
      <c r="A78" s="7"/>
      <c r="B78" s="68"/>
      <c r="C78" s="9"/>
      <c r="D78" s="9"/>
      <c r="E78" s="9"/>
      <c r="F78" s="9"/>
      <c r="G78" s="20" t="s">
        <v>192</v>
      </c>
      <c r="H78" s="9"/>
      <c r="I78" s="9"/>
      <c r="J78" s="9"/>
      <c r="K78" s="23"/>
      <c r="L78" s="9"/>
      <c r="M78" s="20" t="s">
        <v>192</v>
      </c>
      <c r="N78" s="9"/>
      <c r="O78" s="6"/>
      <c r="P78" s="132"/>
    </row>
    <row r="79" spans="1:15" ht="15.75">
      <c r="A79" s="7"/>
      <c r="B79" s="63" t="s">
        <v>51</v>
      </c>
      <c r="C79" s="17"/>
      <c r="D79" s="17" t="s">
        <v>178</v>
      </c>
      <c r="E79" s="17" t="s">
        <v>181</v>
      </c>
      <c r="F79" s="17"/>
      <c r="G79" s="20" t="s">
        <v>193</v>
      </c>
      <c r="H79" s="17"/>
      <c r="I79" s="17" t="s">
        <v>178</v>
      </c>
      <c r="J79" s="20"/>
      <c r="K79" s="20" t="s">
        <v>181</v>
      </c>
      <c r="L79" s="20"/>
      <c r="M79" s="20" t="s">
        <v>223</v>
      </c>
      <c r="N79" s="17"/>
      <c r="O79" s="6"/>
    </row>
    <row r="80" spans="1:15" ht="15.75">
      <c r="A80" s="28"/>
      <c r="B80" s="29" t="s">
        <v>52</v>
      </c>
      <c r="C80" s="29"/>
      <c r="D80" s="29">
        <v>0</v>
      </c>
      <c r="E80" s="29">
        <v>0</v>
      </c>
      <c r="F80" s="29"/>
      <c r="G80" s="65">
        <f>SUM(C80:E80)</f>
        <v>0</v>
      </c>
      <c r="H80" s="29"/>
      <c r="I80" s="29">
        <v>0</v>
      </c>
      <c r="J80" s="29"/>
      <c r="K80" s="65">
        <f>SUM(G80:I80)</f>
        <v>0</v>
      </c>
      <c r="L80" s="29"/>
      <c r="M80" s="66">
        <v>0</v>
      </c>
      <c r="N80" s="29"/>
      <c r="O80" s="6"/>
    </row>
    <row r="81" spans="1:15" ht="15.75">
      <c r="A81" s="28"/>
      <c r="B81" s="29" t="s">
        <v>53</v>
      </c>
      <c r="C81" s="53"/>
      <c r="D81" s="29">
        <v>12517</v>
      </c>
      <c r="E81" s="29">
        <v>14559</v>
      </c>
      <c r="F81" s="29"/>
      <c r="G81" s="65">
        <f>E81+D81</f>
        <v>27076</v>
      </c>
      <c r="H81" s="29"/>
      <c r="I81" s="29"/>
      <c r="J81" s="29"/>
      <c r="K81" s="65">
        <v>0</v>
      </c>
      <c r="L81" s="29"/>
      <c r="M81" s="66"/>
      <c r="N81" s="29"/>
      <c r="O81" s="6"/>
    </row>
    <row r="82" spans="1:15" ht="15.75">
      <c r="A82" s="28"/>
      <c r="B82" s="29" t="s">
        <v>54</v>
      </c>
      <c r="C82" s="29"/>
      <c r="D82" s="29"/>
      <c r="E82" s="29"/>
      <c r="F82" s="29"/>
      <c r="G82" s="65"/>
      <c r="H82" s="29"/>
      <c r="I82" s="29">
        <f>1431+219+1448+260+1404+278+15-1953</f>
        <v>3102</v>
      </c>
      <c r="J82" s="29"/>
      <c r="K82" s="65">
        <f>3394+274+3367+268+3499+269+9-7342</f>
        <v>3738</v>
      </c>
      <c r="L82" s="29"/>
      <c r="M82" s="66">
        <f>K82+I82</f>
        <v>6840</v>
      </c>
      <c r="N82" s="29"/>
      <c r="O82" s="6"/>
    </row>
    <row r="83" spans="1:15" ht="15.75">
      <c r="A83" s="28"/>
      <c r="B83" s="29" t="s">
        <v>55</v>
      </c>
      <c r="C83" s="29"/>
      <c r="D83" s="29"/>
      <c r="E83" s="29"/>
      <c r="F83" s="29"/>
      <c r="G83" s="65"/>
      <c r="H83" s="29"/>
      <c r="I83" s="29"/>
      <c r="J83" s="29"/>
      <c r="K83" s="65"/>
      <c r="L83" s="29"/>
      <c r="M83" s="66">
        <f>176+51+24</f>
        <v>251</v>
      </c>
      <c r="N83" s="29"/>
      <c r="O83" s="6"/>
    </row>
    <row r="84" spans="1:15" ht="15.75">
      <c r="A84" s="28"/>
      <c r="B84" s="29" t="s">
        <v>56</v>
      </c>
      <c r="C84" s="29"/>
      <c r="D84" s="29"/>
      <c r="E84" s="29"/>
      <c r="F84" s="29"/>
      <c r="G84" s="65"/>
      <c r="H84" s="29"/>
      <c r="I84" s="29"/>
      <c r="J84" s="29"/>
      <c r="K84" s="65"/>
      <c r="L84" s="29"/>
      <c r="M84" s="66">
        <v>0</v>
      </c>
      <c r="N84" s="29"/>
      <c r="O84" s="6"/>
    </row>
    <row r="85" spans="1:15" ht="15.75">
      <c r="A85" s="28"/>
      <c r="B85" s="29" t="s">
        <v>57</v>
      </c>
      <c r="C85" s="29"/>
      <c r="D85" s="29"/>
      <c r="E85" s="29"/>
      <c r="F85" s="29"/>
      <c r="G85" s="65"/>
      <c r="H85" s="29"/>
      <c r="I85" s="29"/>
      <c r="J85" s="29"/>
      <c r="K85" s="65"/>
      <c r="L85" s="29"/>
      <c r="M85" s="66">
        <v>0</v>
      </c>
      <c r="N85" s="29"/>
      <c r="O85" s="6"/>
    </row>
    <row r="86" spans="1:15" ht="15.75">
      <c r="A86" s="28"/>
      <c r="B86" s="29" t="s">
        <v>58</v>
      </c>
      <c r="C86" s="29"/>
      <c r="D86" s="65">
        <f>SUM(D80:D85)</f>
        <v>12517</v>
      </c>
      <c r="E86" s="65">
        <f>SUM(E80:E85)</f>
        <v>14559</v>
      </c>
      <c r="F86" s="29"/>
      <c r="G86" s="65">
        <f>SUM(G80:G85)</f>
        <v>27076</v>
      </c>
      <c r="H86" s="29"/>
      <c r="I86" s="65">
        <f>SUM(I80:I85)</f>
        <v>3102</v>
      </c>
      <c r="J86" s="29"/>
      <c r="K86" s="65">
        <f>SUM(K80:K85)</f>
        <v>3738</v>
      </c>
      <c r="L86" s="29"/>
      <c r="M86" s="67">
        <f>SUM(M80:M85)</f>
        <v>7091</v>
      </c>
      <c r="N86" s="29"/>
      <c r="O86" s="6"/>
    </row>
    <row r="87" spans="1:15" ht="15.75">
      <c r="A87" s="28"/>
      <c r="B87" s="29" t="s">
        <v>59</v>
      </c>
      <c r="C87" s="29"/>
      <c r="D87" s="65">
        <f>G59</f>
        <v>43</v>
      </c>
      <c r="E87" s="65">
        <f>G66</f>
        <v>72</v>
      </c>
      <c r="F87" s="29"/>
      <c r="G87" s="65">
        <f>E87+D87</f>
        <v>115</v>
      </c>
      <c r="H87" s="29"/>
      <c r="I87" s="65">
        <v>0</v>
      </c>
      <c r="J87" s="29"/>
      <c r="K87" s="65">
        <v>0</v>
      </c>
      <c r="L87" s="29"/>
      <c r="M87" s="66">
        <f>-G87</f>
        <v>-115</v>
      </c>
      <c r="N87" s="29"/>
      <c r="O87" s="6"/>
    </row>
    <row r="88" spans="1:15" ht="15.75">
      <c r="A88" s="28"/>
      <c r="B88" s="29" t="s">
        <v>60</v>
      </c>
      <c r="C88" s="29"/>
      <c r="D88" s="65">
        <f>D86+D87</f>
        <v>12560</v>
      </c>
      <c r="E88" s="65">
        <f>E86+E87</f>
        <v>14631</v>
      </c>
      <c r="F88" s="29"/>
      <c r="G88" s="65">
        <f>G86+G87</f>
        <v>27191</v>
      </c>
      <c r="H88" s="29"/>
      <c r="I88" s="65">
        <f>I86+I87</f>
        <v>3102</v>
      </c>
      <c r="J88" s="29"/>
      <c r="K88" s="65">
        <f>K86+K87</f>
        <v>3738</v>
      </c>
      <c r="L88" s="29"/>
      <c r="M88" s="67">
        <f>M86+M87</f>
        <v>6976</v>
      </c>
      <c r="N88" s="29"/>
      <c r="O88" s="6"/>
    </row>
    <row r="89" spans="1:15" ht="15.75">
      <c r="A89" s="28"/>
      <c r="B89" s="157" t="s">
        <v>61</v>
      </c>
      <c r="C89" s="72"/>
      <c r="D89" s="72"/>
      <c r="E89" s="29"/>
      <c r="F89" s="29"/>
      <c r="G89" s="29"/>
      <c r="H89" s="29"/>
      <c r="I89" s="29"/>
      <c r="J89" s="29"/>
      <c r="K89" s="65"/>
      <c r="L89" s="29"/>
      <c r="M89" s="66"/>
      <c r="N89" s="29"/>
      <c r="O89" s="6"/>
    </row>
    <row r="90" spans="1:15" ht="15.75">
      <c r="A90" s="28">
        <v>1</v>
      </c>
      <c r="B90" s="29" t="s">
        <v>62</v>
      </c>
      <c r="C90" s="29"/>
      <c r="D90" s="29"/>
      <c r="E90" s="29"/>
      <c r="F90" s="29"/>
      <c r="G90" s="29"/>
      <c r="H90" s="29"/>
      <c r="I90" s="29"/>
      <c r="J90" s="29"/>
      <c r="K90" s="29"/>
      <c r="L90" s="29"/>
      <c r="M90" s="66">
        <v>-4</v>
      </c>
      <c r="N90" s="29"/>
      <c r="O90" s="6"/>
    </row>
    <row r="91" spans="1:15" ht="15.75">
      <c r="A91" s="28">
        <v>2</v>
      </c>
      <c r="B91" s="29" t="s">
        <v>63</v>
      </c>
      <c r="C91" s="29"/>
      <c r="D91" s="29"/>
      <c r="E91" s="29"/>
      <c r="F91" s="29"/>
      <c r="G91" s="29"/>
      <c r="H91" s="29"/>
      <c r="I91" s="29"/>
      <c r="J91" s="29"/>
      <c r="K91" s="29"/>
      <c r="L91" s="29"/>
      <c r="M91" s="66">
        <f>-216-84</f>
        <v>-300</v>
      </c>
      <c r="N91" s="29"/>
      <c r="O91" s="6"/>
    </row>
    <row r="92" spans="1:15" ht="15.75">
      <c r="A92" s="28">
        <v>3</v>
      </c>
      <c r="B92" s="29" t="s">
        <v>64</v>
      </c>
      <c r="C92" s="29"/>
      <c r="D92" s="29"/>
      <c r="E92" s="29"/>
      <c r="F92" s="29"/>
      <c r="G92" s="29"/>
      <c r="H92" s="29"/>
      <c r="I92" s="29"/>
      <c r="J92" s="29"/>
      <c r="K92" s="29"/>
      <c r="L92" s="29"/>
      <c r="M92" s="66">
        <v>-1853</v>
      </c>
      <c r="N92" s="29"/>
      <c r="O92" s="6"/>
    </row>
    <row r="93" spans="1:15" ht="15.75">
      <c r="A93" s="28">
        <v>4</v>
      </c>
      <c r="B93" s="29" t="s">
        <v>227</v>
      </c>
      <c r="C93" s="29"/>
      <c r="D93" s="29"/>
      <c r="E93" s="29"/>
      <c r="F93" s="29"/>
      <c r="G93" s="29"/>
      <c r="H93" s="29"/>
      <c r="I93" s="29"/>
      <c r="J93" s="29"/>
      <c r="K93" s="29"/>
      <c r="L93" s="29"/>
      <c r="M93" s="66">
        <v>-284</v>
      </c>
      <c r="N93" s="29"/>
      <c r="O93" s="6"/>
    </row>
    <row r="94" spans="1:15" ht="15.75">
      <c r="A94" s="28">
        <v>4</v>
      </c>
      <c r="B94" s="29" t="s">
        <v>65</v>
      </c>
      <c r="C94" s="29"/>
      <c r="D94" s="29"/>
      <c r="E94" s="29"/>
      <c r="F94" s="29"/>
      <c r="G94" s="29"/>
      <c r="H94" s="29"/>
      <c r="I94" s="29"/>
      <c r="J94" s="29"/>
      <c r="K94" s="29"/>
      <c r="L94" s="29"/>
      <c r="M94" s="66">
        <v>-5</v>
      </c>
      <c r="N94" s="29"/>
      <c r="O94" s="6"/>
    </row>
    <row r="95" spans="1:15" ht="15.75">
      <c r="A95" s="28">
        <v>5</v>
      </c>
      <c r="B95" s="29" t="s">
        <v>66</v>
      </c>
      <c r="C95" s="29"/>
      <c r="D95" s="29"/>
      <c r="E95" s="29"/>
      <c r="F95" s="29"/>
      <c r="G95" s="29"/>
      <c r="H95" s="29"/>
      <c r="I95" s="29"/>
      <c r="J95" s="29"/>
      <c r="K95" s="29"/>
      <c r="L95" s="29"/>
      <c r="M95" s="66">
        <v>-200</v>
      </c>
      <c r="N95" s="29"/>
      <c r="O95" s="6"/>
    </row>
    <row r="96" spans="1:15" ht="15.75">
      <c r="A96" s="28">
        <v>6</v>
      </c>
      <c r="B96" s="29" t="s">
        <v>67</v>
      </c>
      <c r="C96" s="29"/>
      <c r="D96" s="29"/>
      <c r="E96" s="29"/>
      <c r="F96" s="29"/>
      <c r="G96" s="29"/>
      <c r="H96" s="29"/>
      <c r="I96" s="29"/>
      <c r="J96" s="29"/>
      <c r="K96" s="29"/>
      <c r="L96" s="29"/>
      <c r="M96" s="66">
        <v>-142</v>
      </c>
      <c r="N96" s="29"/>
      <c r="O96" s="6"/>
    </row>
    <row r="97" spans="1:15" ht="15.75">
      <c r="A97" s="28">
        <v>7</v>
      </c>
      <c r="B97" s="29" t="s">
        <v>68</v>
      </c>
      <c r="C97" s="29"/>
      <c r="D97" s="29"/>
      <c r="E97" s="29"/>
      <c r="F97" s="29"/>
      <c r="G97" s="29"/>
      <c r="H97" s="29"/>
      <c r="I97" s="29"/>
      <c r="J97" s="29"/>
      <c r="K97" s="29"/>
      <c r="L97" s="29"/>
      <c r="M97" s="66">
        <v>0</v>
      </c>
      <c r="N97" s="29"/>
      <c r="O97" s="6"/>
    </row>
    <row r="98" spans="1:15" ht="15.75">
      <c r="A98" s="28">
        <v>8</v>
      </c>
      <c r="B98" s="29" t="s">
        <v>69</v>
      </c>
      <c r="C98" s="29"/>
      <c r="D98" s="29"/>
      <c r="E98" s="29"/>
      <c r="F98" s="29"/>
      <c r="G98" s="29"/>
      <c r="H98" s="29"/>
      <c r="I98" s="29"/>
      <c r="J98" s="29"/>
      <c r="K98" s="65">
        <f>-M98</f>
        <v>1021</v>
      </c>
      <c r="L98" s="29"/>
      <c r="M98" s="66">
        <f>I73</f>
        <v>-1021</v>
      </c>
      <c r="N98" s="29"/>
      <c r="O98" s="6"/>
    </row>
    <row r="99" spans="1:15" ht="15.75">
      <c r="A99" s="28">
        <v>9</v>
      </c>
      <c r="B99" s="29" t="s">
        <v>46</v>
      </c>
      <c r="C99" s="29"/>
      <c r="D99" s="29"/>
      <c r="E99" s="29"/>
      <c r="F99" s="29"/>
      <c r="G99" s="29"/>
      <c r="H99" s="29"/>
      <c r="I99" s="29"/>
      <c r="J99" s="29"/>
      <c r="K99" s="65">
        <f>-M99</f>
        <v>0</v>
      </c>
      <c r="L99" s="29"/>
      <c r="M99" s="66">
        <v>0</v>
      </c>
      <c r="N99" s="29"/>
      <c r="O99" s="6"/>
    </row>
    <row r="100" spans="1:15" ht="15.75">
      <c r="A100" s="28">
        <v>10</v>
      </c>
      <c r="B100" s="29" t="s">
        <v>228</v>
      </c>
      <c r="C100" s="29"/>
      <c r="D100" s="29"/>
      <c r="E100" s="29"/>
      <c r="F100" s="29"/>
      <c r="G100" s="29"/>
      <c r="H100" s="29"/>
      <c r="I100" s="29"/>
      <c r="J100" s="29"/>
      <c r="K100" s="29"/>
      <c r="L100" s="29"/>
      <c r="M100" s="66">
        <v>-194</v>
      </c>
      <c r="N100" s="29"/>
      <c r="O100" s="6"/>
    </row>
    <row r="101" spans="1:15" ht="15.75">
      <c r="A101" s="28">
        <v>11</v>
      </c>
      <c r="B101" s="29" t="s">
        <v>71</v>
      </c>
      <c r="C101" s="29"/>
      <c r="D101" s="29"/>
      <c r="E101" s="29"/>
      <c r="F101" s="29"/>
      <c r="G101" s="29"/>
      <c r="H101" s="29"/>
      <c r="I101" s="29"/>
      <c r="J101" s="29"/>
      <c r="K101" s="29"/>
      <c r="L101" s="29"/>
      <c r="M101" s="66">
        <f>SUM(M88:M100)*-1</f>
        <v>-2973</v>
      </c>
      <c r="N101" s="29"/>
      <c r="O101" s="6"/>
    </row>
    <row r="102" spans="1:15" ht="15.75">
      <c r="A102" s="28"/>
      <c r="B102" s="157" t="s">
        <v>72</v>
      </c>
      <c r="C102" s="72"/>
      <c r="D102" s="72"/>
      <c r="E102" s="29"/>
      <c r="F102" s="29"/>
      <c r="G102" s="29"/>
      <c r="H102" s="29"/>
      <c r="I102" s="29"/>
      <c r="J102" s="29"/>
      <c r="K102" s="29"/>
      <c r="L102" s="29"/>
      <c r="M102" s="73"/>
      <c r="N102" s="29"/>
      <c r="O102" s="6"/>
    </row>
    <row r="103" spans="1:15" ht="15.75">
      <c r="A103" s="28"/>
      <c r="B103" s="74" t="s">
        <v>73</v>
      </c>
      <c r="C103" s="72"/>
      <c r="D103" s="72"/>
      <c r="E103" s="29"/>
      <c r="F103" s="29"/>
      <c r="G103" s="29"/>
      <c r="H103" s="29"/>
      <c r="I103" s="29"/>
      <c r="J103" s="29"/>
      <c r="K103" s="65">
        <f>E72</f>
        <v>21715</v>
      </c>
      <c r="L103" s="29"/>
      <c r="M103" s="73"/>
      <c r="N103" s="29"/>
      <c r="O103" s="6"/>
    </row>
    <row r="104" spans="1:15" ht="15.75">
      <c r="A104" s="28"/>
      <c r="B104" s="74" t="s">
        <v>74</v>
      </c>
      <c r="C104" s="72"/>
      <c r="D104" s="72"/>
      <c r="E104" s="29"/>
      <c r="F104" s="29"/>
      <c r="G104" s="29"/>
      <c r="H104" s="29"/>
      <c r="I104" s="29"/>
      <c r="J104" s="29"/>
      <c r="K104" s="65">
        <f>G88</f>
        <v>27191</v>
      </c>
      <c r="L104" s="29"/>
      <c r="M104" s="73"/>
      <c r="N104" s="29"/>
      <c r="O104" s="6"/>
    </row>
    <row r="105" spans="1:15" ht="15.75">
      <c r="A105" s="75"/>
      <c r="B105" s="29" t="s">
        <v>75</v>
      </c>
      <c r="C105" s="72"/>
      <c r="D105" s="72"/>
      <c r="E105" s="29"/>
      <c r="F105" s="29"/>
      <c r="G105" s="29"/>
      <c r="H105" s="29"/>
      <c r="I105" s="29"/>
      <c r="J105" s="29"/>
      <c r="K105" s="65">
        <f>-I68-I61</f>
        <v>-26323</v>
      </c>
      <c r="L105" s="29"/>
      <c r="M105" s="73"/>
      <c r="N105" s="29"/>
      <c r="O105" s="6"/>
    </row>
    <row r="106" spans="1:15" ht="15.75">
      <c r="A106" s="28"/>
      <c r="B106" s="29" t="s">
        <v>76</v>
      </c>
      <c r="C106" s="72"/>
      <c r="D106" s="72"/>
      <c r="E106" s="29"/>
      <c r="F106" s="29"/>
      <c r="G106" s="29"/>
      <c r="H106" s="29"/>
      <c r="I106" s="29"/>
      <c r="J106" s="29"/>
      <c r="K106" s="65">
        <v>0</v>
      </c>
      <c r="L106" s="65"/>
      <c r="M106" s="66"/>
      <c r="N106" s="29"/>
      <c r="O106" s="6"/>
    </row>
    <row r="107" spans="1:15" ht="15.75">
      <c r="A107" s="28"/>
      <c r="B107" s="29" t="s">
        <v>77</v>
      </c>
      <c r="C107" s="29"/>
      <c r="D107" s="29"/>
      <c r="E107" s="29"/>
      <c r="F107" s="29"/>
      <c r="G107" s="29"/>
      <c r="H107" s="29"/>
      <c r="I107" s="29"/>
      <c r="J107" s="29"/>
      <c r="K107" s="65">
        <v>0</v>
      </c>
      <c r="L107" s="65"/>
      <c r="M107" s="66"/>
      <c r="N107" s="29"/>
      <c r="O107" s="6"/>
    </row>
    <row r="108" spans="1:15" ht="15.75">
      <c r="A108" s="28"/>
      <c r="B108" s="29" t="s">
        <v>78</v>
      </c>
      <c r="C108" s="29"/>
      <c r="D108" s="29"/>
      <c r="E108" s="29"/>
      <c r="F108" s="29"/>
      <c r="G108" s="29"/>
      <c r="H108" s="29"/>
      <c r="I108" s="29"/>
      <c r="J108" s="29"/>
      <c r="K108" s="65">
        <v>0</v>
      </c>
      <c r="L108" s="65"/>
      <c r="M108" s="66"/>
      <c r="N108" s="29"/>
      <c r="O108" s="6"/>
    </row>
    <row r="109" spans="1:15" ht="15.75">
      <c r="A109" s="28"/>
      <c r="B109" s="29" t="s">
        <v>79</v>
      </c>
      <c r="C109" s="29"/>
      <c r="D109" s="29"/>
      <c r="E109" s="29"/>
      <c r="F109" s="29"/>
      <c r="G109" s="29"/>
      <c r="H109" s="29"/>
      <c r="I109" s="29"/>
      <c r="J109" s="29"/>
      <c r="K109" s="65">
        <v>0</v>
      </c>
      <c r="L109" s="65"/>
      <c r="M109" s="66"/>
      <c r="N109" s="29"/>
      <c r="O109" s="6"/>
    </row>
    <row r="110" spans="1:15" ht="15.75">
      <c r="A110" s="28"/>
      <c r="B110" s="29" t="s">
        <v>80</v>
      </c>
      <c r="C110" s="29"/>
      <c r="D110" s="29"/>
      <c r="E110" s="29"/>
      <c r="F110" s="29"/>
      <c r="G110" s="29"/>
      <c r="H110" s="29"/>
      <c r="I110" s="29"/>
      <c r="J110" s="29"/>
      <c r="K110" s="65">
        <v>0</v>
      </c>
      <c r="L110" s="65"/>
      <c r="M110" s="66"/>
      <c r="N110" s="29"/>
      <c r="O110" s="6"/>
    </row>
    <row r="111" spans="1:15" ht="15.75">
      <c r="A111" s="28"/>
      <c r="B111" s="29" t="s">
        <v>81</v>
      </c>
      <c r="C111" s="29"/>
      <c r="D111" s="29"/>
      <c r="E111" s="29"/>
      <c r="F111" s="29"/>
      <c r="G111" s="29"/>
      <c r="H111" s="29"/>
      <c r="I111" s="29"/>
      <c r="J111" s="29"/>
      <c r="K111" s="65">
        <v>0</v>
      </c>
      <c r="L111" s="65"/>
      <c r="M111" s="66"/>
      <c r="N111" s="29"/>
      <c r="O111" s="6"/>
    </row>
    <row r="112" spans="1:15" ht="15.75">
      <c r="A112" s="28"/>
      <c r="B112" s="29" t="s">
        <v>82</v>
      </c>
      <c r="C112" s="29"/>
      <c r="D112" s="29"/>
      <c r="E112" s="29"/>
      <c r="F112" s="29"/>
      <c r="G112" s="29"/>
      <c r="H112" s="29"/>
      <c r="I112" s="29"/>
      <c r="J112" s="29"/>
      <c r="K112" s="65">
        <f>SUM(K105:K111)</f>
        <v>-26323</v>
      </c>
      <c r="L112" s="65"/>
      <c r="M112" s="65">
        <f>SUM(M89:M101)</f>
        <v>-6976</v>
      </c>
      <c r="N112" s="29"/>
      <c r="O112" s="6"/>
    </row>
    <row r="113" spans="1:15" ht="15.75">
      <c r="A113" s="28"/>
      <c r="B113" s="29" t="s">
        <v>83</v>
      </c>
      <c r="C113" s="29"/>
      <c r="D113" s="29"/>
      <c r="E113" s="29"/>
      <c r="F113" s="29"/>
      <c r="G113" s="29"/>
      <c r="H113" s="29"/>
      <c r="I113" s="29"/>
      <c r="J113" s="29"/>
      <c r="K113" s="65">
        <f>SUM(K103:K111)+SUM(K98:K99)</f>
        <v>23604</v>
      </c>
      <c r="L113" s="65"/>
      <c r="M113" s="65">
        <f>M88+M112</f>
        <v>0</v>
      </c>
      <c r="N113" s="29"/>
      <c r="O113" s="6"/>
    </row>
    <row r="114" spans="1:15" ht="15.75">
      <c r="A114" s="28"/>
      <c r="B114" s="29"/>
      <c r="C114" s="29"/>
      <c r="D114" s="29"/>
      <c r="E114" s="29"/>
      <c r="F114" s="29"/>
      <c r="G114" s="29"/>
      <c r="H114" s="29"/>
      <c r="I114" s="29"/>
      <c r="J114" s="29"/>
      <c r="K114" s="65"/>
      <c r="L114" s="65"/>
      <c r="M114" s="65"/>
      <c r="N114" s="29"/>
      <c r="O114" s="6"/>
    </row>
    <row r="115" spans="1:15" ht="15.75">
      <c r="A115" s="7"/>
      <c r="B115" s="14"/>
      <c r="C115" s="9"/>
      <c r="D115" s="9"/>
      <c r="E115" s="9"/>
      <c r="F115" s="9"/>
      <c r="G115" s="9"/>
      <c r="H115" s="9"/>
      <c r="I115" s="9"/>
      <c r="J115" s="9"/>
      <c r="K115" s="68"/>
      <c r="L115" s="68"/>
      <c r="M115" s="68"/>
      <c r="N115" s="9"/>
      <c r="O115" s="6"/>
    </row>
    <row r="116" spans="1:15" ht="16.5" thickBot="1">
      <c r="A116" s="134"/>
      <c r="B116" s="135" t="str">
        <f>B53</f>
        <v>PASF1 INVESTOR REPORT QUARTER ENDING OCTOBER 2002</v>
      </c>
      <c r="C116" s="136"/>
      <c r="D116" s="136"/>
      <c r="E116" s="136"/>
      <c r="F116" s="136"/>
      <c r="G116" s="136"/>
      <c r="H116" s="136"/>
      <c r="I116" s="136"/>
      <c r="J116" s="136"/>
      <c r="K116" s="139"/>
      <c r="L116" s="139"/>
      <c r="M116" s="139"/>
      <c r="N116" s="138"/>
      <c r="O116" s="6"/>
    </row>
    <row r="117" spans="1:15" ht="15.75">
      <c r="A117" s="2"/>
      <c r="B117" s="5"/>
      <c r="C117" s="5"/>
      <c r="D117" s="5"/>
      <c r="E117" s="5"/>
      <c r="F117" s="5"/>
      <c r="G117" s="5"/>
      <c r="H117" s="5"/>
      <c r="I117" s="5"/>
      <c r="J117" s="5"/>
      <c r="K117" s="76"/>
      <c r="L117" s="76"/>
      <c r="M117" s="76"/>
      <c r="N117" s="5"/>
      <c r="O117" s="6"/>
    </row>
    <row r="118" spans="1:15" ht="15.75">
      <c r="A118" s="7"/>
      <c r="B118" s="9"/>
      <c r="C118" s="9"/>
      <c r="D118" s="9"/>
      <c r="E118" s="9"/>
      <c r="F118" s="9"/>
      <c r="G118" s="9"/>
      <c r="H118" s="9"/>
      <c r="I118" s="9"/>
      <c r="J118" s="9"/>
      <c r="K118" s="9"/>
      <c r="L118" s="9"/>
      <c r="M118" s="64"/>
      <c r="N118" s="9"/>
      <c r="O118" s="6"/>
    </row>
    <row r="119" spans="1:15" ht="15.75">
      <c r="A119" s="77"/>
      <c r="B119" s="78"/>
      <c r="C119" s="78"/>
      <c r="D119" s="78"/>
      <c r="E119" s="78"/>
      <c r="F119" s="78"/>
      <c r="G119" s="78"/>
      <c r="H119" s="78"/>
      <c r="I119" s="78"/>
      <c r="J119" s="78"/>
      <c r="K119" s="78"/>
      <c r="L119" s="78"/>
      <c r="M119" s="79"/>
      <c r="N119" s="78"/>
      <c r="O119" s="6"/>
    </row>
    <row r="120" spans="1:15" ht="15.75">
      <c r="A120" s="77"/>
      <c r="B120" s="80" t="s">
        <v>84</v>
      </c>
      <c r="C120" s="78"/>
      <c r="D120" s="78"/>
      <c r="E120" s="78"/>
      <c r="F120" s="78"/>
      <c r="G120" s="78"/>
      <c r="H120" s="78"/>
      <c r="I120" s="78"/>
      <c r="J120" s="78"/>
      <c r="K120" s="78"/>
      <c r="L120" s="78"/>
      <c r="M120" s="79"/>
      <c r="N120" s="81"/>
      <c r="O120" s="6"/>
    </row>
    <row r="121" spans="1:15" ht="15.75">
      <c r="A121" s="77"/>
      <c r="B121" s="78"/>
      <c r="C121" s="78"/>
      <c r="D121" s="78"/>
      <c r="E121" s="78"/>
      <c r="F121" s="78"/>
      <c r="G121" s="78"/>
      <c r="H121" s="78"/>
      <c r="I121" s="78"/>
      <c r="J121" s="78"/>
      <c r="K121" s="78"/>
      <c r="L121" s="78"/>
      <c r="M121" s="79"/>
      <c r="N121" s="78"/>
      <c r="O121" s="6"/>
    </row>
    <row r="122" spans="1:15" ht="15.75">
      <c r="A122" s="7"/>
      <c r="B122" s="158" t="s">
        <v>85</v>
      </c>
      <c r="C122" s="15"/>
      <c r="D122" s="15"/>
      <c r="E122" s="9"/>
      <c r="F122" s="9"/>
      <c r="G122" s="9"/>
      <c r="H122" s="9"/>
      <c r="I122" s="9"/>
      <c r="J122" s="9"/>
      <c r="K122" s="9"/>
      <c r="L122" s="9"/>
      <c r="M122" s="64"/>
      <c r="N122" s="9"/>
      <c r="O122" s="6"/>
    </row>
    <row r="123" spans="1:15" ht="15.75">
      <c r="A123" s="28"/>
      <c r="B123" s="29" t="s">
        <v>86</v>
      </c>
      <c r="C123" s="29"/>
      <c r="D123" s="29"/>
      <c r="E123" s="29"/>
      <c r="F123" s="29"/>
      <c r="G123" s="29"/>
      <c r="H123" s="29"/>
      <c r="I123" s="29"/>
      <c r="J123" s="29"/>
      <c r="K123" s="29"/>
      <c r="L123" s="29"/>
      <c r="M123" s="66">
        <v>5852</v>
      </c>
      <c r="N123" s="29"/>
      <c r="O123" s="6"/>
    </row>
    <row r="124" spans="1:15" ht="15.75">
      <c r="A124" s="28"/>
      <c r="B124" s="29" t="s">
        <v>87</v>
      </c>
      <c r="C124" s="29"/>
      <c r="D124" s="29"/>
      <c r="E124" s="29"/>
      <c r="F124" s="29"/>
      <c r="G124" s="29"/>
      <c r="H124" s="29"/>
      <c r="I124" s="29"/>
      <c r="J124" s="29"/>
      <c r="K124" s="29"/>
      <c r="L124" s="29"/>
      <c r="M124" s="66">
        <v>0</v>
      </c>
      <c r="N124" s="29"/>
      <c r="O124" s="6"/>
    </row>
    <row r="125" spans="1:15" ht="15.75">
      <c r="A125" s="28"/>
      <c r="B125" s="29" t="s">
        <v>88</v>
      </c>
      <c r="C125" s="29"/>
      <c r="D125" s="29"/>
      <c r="E125" s="29"/>
      <c r="F125" s="29"/>
      <c r="G125" s="29"/>
      <c r="H125" s="29"/>
      <c r="I125" s="29"/>
      <c r="J125" s="29"/>
      <c r="K125" s="29"/>
      <c r="L125" s="29"/>
      <c r="M125" s="66">
        <v>0</v>
      </c>
      <c r="N125" s="29"/>
      <c r="O125" s="6"/>
    </row>
    <row r="126" spans="1:15" ht="15.75">
      <c r="A126" s="28"/>
      <c r="B126" s="29" t="s">
        <v>89</v>
      </c>
      <c r="C126" s="29"/>
      <c r="D126" s="29"/>
      <c r="E126" s="29"/>
      <c r="F126" s="29"/>
      <c r="G126" s="29"/>
      <c r="H126" s="29"/>
      <c r="I126" s="29"/>
      <c r="J126" s="29"/>
      <c r="K126" s="29"/>
      <c r="L126" s="29"/>
      <c r="M126" s="66">
        <v>0</v>
      </c>
      <c r="N126" s="29"/>
      <c r="O126" s="6"/>
    </row>
    <row r="127" spans="1:15" ht="15.75">
      <c r="A127" s="28"/>
      <c r="B127" s="29" t="s">
        <v>90</v>
      </c>
      <c r="C127" s="29"/>
      <c r="D127" s="29"/>
      <c r="E127" s="29"/>
      <c r="F127" s="29"/>
      <c r="G127" s="29"/>
      <c r="H127" s="29"/>
      <c r="I127" s="29"/>
      <c r="J127" s="29"/>
      <c r="K127" s="29"/>
      <c r="L127" s="29"/>
      <c r="M127" s="66">
        <v>0</v>
      </c>
      <c r="N127" s="29"/>
      <c r="O127" s="6"/>
    </row>
    <row r="128" spans="1:15" ht="15.75">
      <c r="A128" s="28"/>
      <c r="B128" s="29" t="s">
        <v>91</v>
      </c>
      <c r="C128" s="29"/>
      <c r="D128" s="29"/>
      <c r="E128" s="29"/>
      <c r="F128" s="29"/>
      <c r="G128" s="29"/>
      <c r="H128" s="29"/>
      <c r="I128" s="29"/>
      <c r="J128" s="29"/>
      <c r="K128" s="29"/>
      <c r="L128" s="29"/>
      <c r="M128" s="66">
        <v>0</v>
      </c>
      <c r="N128" s="29"/>
      <c r="O128" s="6"/>
    </row>
    <row r="129" spans="1:15" ht="15.75">
      <c r="A129" s="28"/>
      <c r="B129" s="29" t="s">
        <v>66</v>
      </c>
      <c r="C129" s="29"/>
      <c r="D129" s="29"/>
      <c r="E129" s="29"/>
      <c r="F129" s="29"/>
      <c r="G129" s="29"/>
      <c r="H129" s="29"/>
      <c r="I129" s="29"/>
      <c r="J129" s="29"/>
      <c r="K129" s="29"/>
      <c r="L129" s="29"/>
      <c r="M129" s="66">
        <v>0</v>
      </c>
      <c r="N129" s="29"/>
      <c r="O129" s="6"/>
    </row>
    <row r="130" spans="1:15" ht="15.75">
      <c r="A130" s="28"/>
      <c r="B130" s="29" t="s">
        <v>67</v>
      </c>
      <c r="C130" s="29"/>
      <c r="D130" s="29"/>
      <c r="E130" s="29"/>
      <c r="F130" s="29"/>
      <c r="G130" s="29"/>
      <c r="H130" s="29"/>
      <c r="I130" s="29"/>
      <c r="J130" s="29"/>
      <c r="K130" s="29"/>
      <c r="L130" s="29"/>
      <c r="M130" s="66">
        <v>0</v>
      </c>
      <c r="N130" s="29"/>
      <c r="O130" s="6"/>
    </row>
    <row r="131" spans="1:15" ht="15.75">
      <c r="A131" s="28"/>
      <c r="B131" s="29" t="s">
        <v>92</v>
      </c>
      <c r="C131" s="29"/>
      <c r="D131" s="29"/>
      <c r="E131" s="29"/>
      <c r="F131" s="29"/>
      <c r="G131" s="29"/>
      <c r="H131" s="29"/>
      <c r="I131" s="29"/>
      <c r="J131" s="29"/>
      <c r="K131" s="29"/>
      <c r="L131" s="29"/>
      <c r="M131" s="66">
        <f>M123+M126</f>
        <v>5852</v>
      </c>
      <c r="N131" s="29"/>
      <c r="O131" s="6"/>
    </row>
    <row r="132" spans="1:15" ht="15.75">
      <c r="A132" s="28"/>
      <c r="B132" s="29"/>
      <c r="C132" s="29"/>
      <c r="D132" s="29"/>
      <c r="E132" s="29"/>
      <c r="F132" s="29"/>
      <c r="G132" s="29"/>
      <c r="H132" s="29"/>
      <c r="I132" s="29"/>
      <c r="J132" s="29"/>
      <c r="K132" s="29"/>
      <c r="L132" s="29"/>
      <c r="M132" s="82"/>
      <c r="N132" s="29"/>
      <c r="O132" s="6"/>
    </row>
    <row r="133" spans="1:15" ht="15.75">
      <c r="A133" s="7"/>
      <c r="B133" s="158" t="s">
        <v>50</v>
      </c>
      <c r="C133" s="9"/>
      <c r="D133" s="9"/>
      <c r="E133" s="9"/>
      <c r="F133" s="9"/>
      <c r="G133" s="9"/>
      <c r="H133" s="9"/>
      <c r="I133" s="9"/>
      <c r="J133" s="9"/>
      <c r="K133" s="9"/>
      <c r="L133" s="9"/>
      <c r="M133" s="64"/>
      <c r="N133" s="9"/>
      <c r="O133" s="6"/>
    </row>
    <row r="134" spans="1:15" ht="15.75">
      <c r="A134" s="28"/>
      <c r="B134" s="29" t="s">
        <v>93</v>
      </c>
      <c r="C134" s="83"/>
      <c r="D134" s="83"/>
      <c r="E134" s="29"/>
      <c r="F134" s="29"/>
      <c r="G134" s="29"/>
      <c r="H134" s="29"/>
      <c r="I134" s="29"/>
      <c r="J134" s="29"/>
      <c r="K134" s="29"/>
      <c r="L134" s="29"/>
      <c r="M134" s="66">
        <v>2926</v>
      </c>
      <c r="N134" s="29"/>
      <c r="O134" s="6"/>
    </row>
    <row r="135" spans="1:15" ht="15.75">
      <c r="A135" s="28"/>
      <c r="B135" s="29" t="s">
        <v>94</v>
      </c>
      <c r="C135" s="29"/>
      <c r="D135" s="29"/>
      <c r="E135" s="29"/>
      <c r="F135" s="29"/>
      <c r="G135" s="29"/>
      <c r="H135" s="29"/>
      <c r="I135" s="29"/>
      <c r="J135" s="29"/>
      <c r="K135" s="29"/>
      <c r="L135" s="29"/>
      <c r="M135" s="66">
        <v>2926</v>
      </c>
      <c r="N135" s="29"/>
      <c r="O135" s="6"/>
    </row>
    <row r="136" spans="1:15" ht="15.75">
      <c r="A136" s="28"/>
      <c r="B136" s="29" t="s">
        <v>95</v>
      </c>
      <c r="C136" s="29"/>
      <c r="D136" s="29"/>
      <c r="E136" s="29"/>
      <c r="F136" s="29"/>
      <c r="G136" s="29"/>
      <c r="H136" s="29"/>
      <c r="I136" s="29"/>
      <c r="J136" s="29"/>
      <c r="K136" s="29"/>
      <c r="L136" s="29"/>
      <c r="M136" s="66">
        <f>-M99</f>
        <v>0</v>
      </c>
      <c r="N136" s="29"/>
      <c r="O136" s="6"/>
    </row>
    <row r="137" spans="1:15" ht="15.75">
      <c r="A137" s="28"/>
      <c r="B137" s="29" t="s">
        <v>96</v>
      </c>
      <c r="C137" s="29"/>
      <c r="D137" s="29"/>
      <c r="E137" s="29"/>
      <c r="F137" s="29"/>
      <c r="G137" s="29"/>
      <c r="H137" s="29"/>
      <c r="I137" s="29"/>
      <c r="J137" s="29"/>
      <c r="K137" s="29"/>
      <c r="L137" s="29"/>
      <c r="M137" s="66">
        <f>M134-M135-M136</f>
        <v>0</v>
      </c>
      <c r="N137" s="29"/>
      <c r="O137" s="6"/>
    </row>
    <row r="138" spans="1:15" ht="15.75">
      <c r="A138" s="28"/>
      <c r="B138" s="29"/>
      <c r="C138" s="29"/>
      <c r="D138" s="29"/>
      <c r="E138" s="29"/>
      <c r="F138" s="29"/>
      <c r="G138" s="29"/>
      <c r="H138" s="29"/>
      <c r="I138" s="29"/>
      <c r="J138" s="29"/>
      <c r="K138" s="29"/>
      <c r="L138" s="29"/>
      <c r="M138" s="84"/>
      <c r="N138" s="29"/>
      <c r="O138" s="6"/>
    </row>
    <row r="139" spans="1:15" ht="15.75">
      <c r="A139" s="7"/>
      <c r="B139" s="158" t="s">
        <v>97</v>
      </c>
      <c r="C139" s="15"/>
      <c r="D139" s="15"/>
      <c r="E139" s="9"/>
      <c r="F139" s="9"/>
      <c r="G139" s="17" t="s">
        <v>178</v>
      </c>
      <c r="H139" s="17"/>
      <c r="I139" s="17" t="s">
        <v>181</v>
      </c>
      <c r="J139" s="9"/>
      <c r="K139" s="9"/>
      <c r="L139" s="9"/>
      <c r="M139" s="85"/>
      <c r="N139" s="9"/>
      <c r="O139" s="6"/>
    </row>
    <row r="140" spans="1:15" ht="15.75">
      <c r="A140" s="7"/>
      <c r="B140" s="15"/>
      <c r="C140" s="15"/>
      <c r="D140" s="15"/>
      <c r="E140" s="9"/>
      <c r="F140" s="9"/>
      <c r="G140" s="9"/>
      <c r="H140" s="9"/>
      <c r="I140" s="9"/>
      <c r="J140" s="9"/>
      <c r="K140" s="9"/>
      <c r="L140" s="9"/>
      <c r="M140" s="85"/>
      <c r="N140" s="9"/>
      <c r="O140" s="6"/>
    </row>
    <row r="141" spans="1:15" ht="15.75">
      <c r="A141" s="28"/>
      <c r="B141" s="29" t="s">
        <v>98</v>
      </c>
      <c r="C141" s="29"/>
      <c r="D141" s="29"/>
      <c r="E141" s="29"/>
      <c r="F141" s="29"/>
      <c r="G141" s="29">
        <v>0</v>
      </c>
      <c r="H141" s="29"/>
      <c r="I141" s="29">
        <v>0</v>
      </c>
      <c r="J141" s="29"/>
      <c r="K141" s="29"/>
      <c r="L141" s="29"/>
      <c r="M141" s="66">
        <v>0</v>
      </c>
      <c r="N141" s="29"/>
      <c r="O141" s="6"/>
    </row>
    <row r="142" spans="1:15" ht="15.75">
      <c r="A142" s="28"/>
      <c r="B142" s="29" t="s">
        <v>99</v>
      </c>
      <c r="C142" s="29"/>
      <c r="D142" s="29"/>
      <c r="E142" s="29"/>
      <c r="F142" s="29"/>
      <c r="G142" s="29">
        <v>54</v>
      </c>
      <c r="H142" s="29"/>
      <c r="I142" s="29">
        <v>967</v>
      </c>
      <c r="J142" s="29"/>
      <c r="K142" s="29"/>
      <c r="L142" s="29"/>
      <c r="M142" s="66">
        <f>SUM(G142:I142)</f>
        <v>1021</v>
      </c>
      <c r="N142" s="29"/>
      <c r="O142" s="6"/>
    </row>
    <row r="143" spans="1:15" ht="15.75">
      <c r="A143" s="28"/>
      <c r="B143" s="29" t="s">
        <v>100</v>
      </c>
      <c r="C143" s="29"/>
      <c r="D143" s="29"/>
      <c r="E143" s="29"/>
      <c r="F143" s="29"/>
      <c r="G143" s="29"/>
      <c r="H143" s="29"/>
      <c r="I143" s="86"/>
      <c r="J143" s="29"/>
      <c r="K143" s="29"/>
      <c r="L143" s="29"/>
      <c r="M143" s="66">
        <f>M98</f>
        <v>-1021</v>
      </c>
      <c r="N143" s="29"/>
      <c r="O143" s="6"/>
    </row>
    <row r="144" spans="1:15" ht="15.75">
      <c r="A144" s="28"/>
      <c r="B144" s="29" t="s">
        <v>101</v>
      </c>
      <c r="C144" s="29"/>
      <c r="D144" s="29"/>
      <c r="E144" s="29"/>
      <c r="F144" s="29"/>
      <c r="G144" s="29"/>
      <c r="H144" s="29"/>
      <c r="I144" s="29"/>
      <c r="J144" s="29"/>
      <c r="K144" s="29"/>
      <c r="L144" s="29"/>
      <c r="M144" s="66">
        <f>M143+M142</f>
        <v>0</v>
      </c>
      <c r="N144" s="29"/>
      <c r="O144" s="6"/>
    </row>
    <row r="145" spans="1:15" ht="15.75">
      <c r="A145" s="28"/>
      <c r="B145" s="29"/>
      <c r="C145" s="29"/>
      <c r="D145" s="29"/>
      <c r="E145" s="29"/>
      <c r="F145" s="29"/>
      <c r="G145" s="29"/>
      <c r="H145" s="29"/>
      <c r="I145" s="29"/>
      <c r="J145" s="29"/>
      <c r="K145" s="29"/>
      <c r="L145" s="29"/>
      <c r="M145" s="82"/>
      <c r="N145" s="29"/>
      <c r="O145" s="6"/>
    </row>
    <row r="146" spans="1:15" ht="15.75">
      <c r="A146" s="7"/>
      <c r="B146" s="9"/>
      <c r="C146" s="9"/>
      <c r="D146" s="9"/>
      <c r="E146" s="9"/>
      <c r="F146" s="9"/>
      <c r="G146" s="9"/>
      <c r="H146" s="9"/>
      <c r="I146" s="9"/>
      <c r="J146" s="9"/>
      <c r="K146" s="9"/>
      <c r="L146" s="9"/>
      <c r="M146" s="64"/>
      <c r="N146" s="9"/>
      <c r="O146" s="6"/>
    </row>
    <row r="147" spans="1:15" ht="15.75">
      <c r="A147" s="7"/>
      <c r="B147" s="158" t="s">
        <v>102</v>
      </c>
      <c r="C147" s="15"/>
      <c r="D147" s="15"/>
      <c r="E147" s="9"/>
      <c r="F147" s="9"/>
      <c r="G147" s="9"/>
      <c r="H147" s="9"/>
      <c r="I147" s="9"/>
      <c r="J147" s="9"/>
      <c r="K147" s="9"/>
      <c r="L147" s="9"/>
      <c r="M147" s="64"/>
      <c r="N147" s="9"/>
      <c r="O147" s="6"/>
    </row>
    <row r="148" spans="1:15" ht="15.75">
      <c r="A148" s="28"/>
      <c r="B148" s="29" t="s">
        <v>103</v>
      </c>
      <c r="C148" s="87"/>
      <c r="D148" s="87"/>
      <c r="E148" s="29"/>
      <c r="F148" s="29"/>
      <c r="G148" s="29"/>
      <c r="H148" s="29"/>
      <c r="I148" s="29"/>
      <c r="J148" s="29"/>
      <c r="K148" s="29"/>
      <c r="L148" s="29"/>
      <c r="M148" s="66">
        <f>M68+M61</f>
        <v>169023</v>
      </c>
      <c r="N148" s="29"/>
      <c r="O148" s="6"/>
    </row>
    <row r="149" spans="1:15" ht="15.75">
      <c r="A149" s="28"/>
      <c r="B149" s="29" t="s">
        <v>104</v>
      </c>
      <c r="C149" s="87"/>
      <c r="D149" s="87"/>
      <c r="E149" s="29"/>
      <c r="F149" s="29"/>
      <c r="G149" s="29"/>
      <c r="H149" s="29"/>
      <c r="I149" s="29"/>
      <c r="J149" s="29"/>
      <c r="K149" s="29"/>
      <c r="L149" s="29"/>
      <c r="M149" s="66">
        <f>M72</f>
        <v>22583</v>
      </c>
      <c r="N149" s="29"/>
      <c r="O149" s="6"/>
    </row>
    <row r="150" spans="1:15" ht="15.75">
      <c r="A150" s="28"/>
      <c r="B150" s="29" t="s">
        <v>50</v>
      </c>
      <c r="C150" s="87"/>
      <c r="D150" s="87"/>
      <c r="E150" s="29"/>
      <c r="F150" s="29"/>
      <c r="G150" s="29"/>
      <c r="H150" s="29"/>
      <c r="I150" s="29"/>
      <c r="J150" s="29"/>
      <c r="K150" s="29"/>
      <c r="L150" s="29"/>
      <c r="M150" s="66">
        <f>M71</f>
        <v>2926</v>
      </c>
      <c r="N150" s="29"/>
      <c r="O150" s="6"/>
    </row>
    <row r="151" spans="1:15" ht="15.75">
      <c r="A151" s="28"/>
      <c r="B151" s="29" t="s">
        <v>105</v>
      </c>
      <c r="C151" s="87"/>
      <c r="D151" s="87"/>
      <c r="E151" s="29"/>
      <c r="F151" s="29"/>
      <c r="G151" s="29"/>
      <c r="H151" s="29"/>
      <c r="I151" s="29"/>
      <c r="J151" s="29"/>
      <c r="K151" s="29"/>
      <c r="L151" s="29"/>
      <c r="M151" s="66">
        <f>M74</f>
        <v>-95</v>
      </c>
      <c r="N151" s="29"/>
      <c r="O151" s="6"/>
    </row>
    <row r="152" spans="1:15" ht="15.75">
      <c r="A152" s="28"/>
      <c r="B152" s="29" t="s">
        <v>106</v>
      </c>
      <c r="C152" s="87"/>
      <c r="D152" s="87"/>
      <c r="E152" s="29"/>
      <c r="F152" s="29"/>
      <c r="G152" s="29"/>
      <c r="H152" s="29"/>
      <c r="I152" s="29"/>
      <c r="J152" s="29"/>
      <c r="K152" s="29"/>
      <c r="L152" s="29"/>
      <c r="M152" s="66">
        <f>M73</f>
        <v>3487</v>
      </c>
      <c r="N152" s="29"/>
      <c r="O152" s="6"/>
    </row>
    <row r="153" spans="1:15" ht="15.75">
      <c r="A153" s="28"/>
      <c r="B153" s="29" t="s">
        <v>107</v>
      </c>
      <c r="C153" s="87"/>
      <c r="D153" s="87"/>
      <c r="E153" s="29"/>
      <c r="F153" s="29"/>
      <c r="G153" s="29"/>
      <c r="H153" s="29"/>
      <c r="I153" s="29"/>
      <c r="J153" s="29"/>
      <c r="K153" s="29"/>
      <c r="L153" s="29"/>
      <c r="M153" s="66">
        <f>SUM(M148:M152)</f>
        <v>197924</v>
      </c>
      <c r="N153" s="29"/>
      <c r="O153" s="6"/>
    </row>
    <row r="154" spans="1:16" ht="15.75">
      <c r="A154" s="28"/>
      <c r="B154" s="29" t="s">
        <v>108</v>
      </c>
      <c r="C154" s="87"/>
      <c r="D154" s="87"/>
      <c r="E154" s="29"/>
      <c r="F154" s="29"/>
      <c r="G154" s="29"/>
      <c r="H154" s="29"/>
      <c r="I154" s="29"/>
      <c r="J154" s="29"/>
      <c r="K154" s="29"/>
      <c r="L154" s="29"/>
      <c r="M154" s="66">
        <f>M30</f>
        <v>194998</v>
      </c>
      <c r="N154" s="29"/>
      <c r="O154" s="6"/>
      <c r="P154" s="132"/>
    </row>
    <row r="155" spans="1:15" ht="15.75">
      <c r="A155" s="28"/>
      <c r="B155" s="29"/>
      <c r="C155" s="29"/>
      <c r="D155" s="29"/>
      <c r="E155" s="29"/>
      <c r="F155" s="29"/>
      <c r="G155" s="29"/>
      <c r="H155" s="29"/>
      <c r="I155" s="29"/>
      <c r="J155" s="29"/>
      <c r="K155" s="29"/>
      <c r="L155" s="29"/>
      <c r="M155" s="82"/>
      <c r="N155" s="29"/>
      <c r="O155" s="6"/>
    </row>
    <row r="156" spans="1:15" ht="15.75">
      <c r="A156" s="7"/>
      <c r="B156" s="9"/>
      <c r="C156" s="9"/>
      <c r="D156" s="9"/>
      <c r="E156" s="9"/>
      <c r="F156" s="9"/>
      <c r="G156" s="9"/>
      <c r="H156" s="9"/>
      <c r="I156" s="25"/>
      <c r="J156" s="9"/>
      <c r="K156" s="25"/>
      <c r="L156" s="9"/>
      <c r="M156" s="64"/>
      <c r="N156" s="9"/>
      <c r="O156" s="6"/>
    </row>
    <row r="157" spans="1:15" ht="15.75">
      <c r="A157" s="7"/>
      <c r="B157" s="158" t="s">
        <v>109</v>
      </c>
      <c r="C157" s="11"/>
      <c r="D157" s="11"/>
      <c r="E157" s="11"/>
      <c r="F157" s="11"/>
      <c r="G157" s="11"/>
      <c r="H157" s="11"/>
      <c r="I157" s="159" t="s">
        <v>205</v>
      </c>
      <c r="J157" s="159"/>
      <c r="K157" s="159" t="s">
        <v>210</v>
      </c>
      <c r="L157" s="144"/>
      <c r="M157" s="160" t="s">
        <v>192</v>
      </c>
      <c r="N157" s="161"/>
      <c r="O157" s="6"/>
    </row>
    <row r="158" spans="1:15" ht="15.75">
      <c r="A158" s="28"/>
      <c r="B158" s="29" t="s">
        <v>110</v>
      </c>
      <c r="C158" s="29"/>
      <c r="D158" s="29"/>
      <c r="E158" s="29"/>
      <c r="F158" s="29"/>
      <c r="G158" s="29"/>
      <c r="H158" s="29"/>
      <c r="I158" s="66"/>
      <c r="J158" s="29"/>
      <c r="K158" s="53"/>
      <c r="L158" s="29"/>
      <c r="M158" s="66"/>
      <c r="N158" s="29"/>
      <c r="O158" s="6"/>
    </row>
    <row r="159" spans="1:15" ht="15.75">
      <c r="A159" s="28"/>
      <c r="B159" s="29" t="s">
        <v>111</v>
      </c>
      <c r="C159" s="29"/>
      <c r="D159" s="29"/>
      <c r="E159" s="29"/>
      <c r="F159" s="29"/>
      <c r="G159" s="29"/>
      <c r="H159" s="29"/>
      <c r="I159" s="66"/>
      <c r="J159" s="29"/>
      <c r="K159" s="29"/>
      <c r="L159" s="29"/>
      <c r="M159" s="66" t="s">
        <v>224</v>
      </c>
      <c r="N159" s="29"/>
      <c r="O159" s="6"/>
    </row>
    <row r="160" spans="1:15" ht="15.75">
      <c r="A160" s="28"/>
      <c r="B160" s="29" t="s">
        <v>112</v>
      </c>
      <c r="C160" s="29"/>
      <c r="D160" s="29"/>
      <c r="E160" s="29"/>
      <c r="F160" s="29"/>
      <c r="G160" s="29"/>
      <c r="H160" s="29"/>
      <c r="I160" s="66"/>
      <c r="J160" s="29"/>
      <c r="K160" s="29"/>
      <c r="L160" s="29"/>
      <c r="M160" s="66" t="s">
        <v>224</v>
      </c>
      <c r="N160" s="29"/>
      <c r="O160" s="6"/>
    </row>
    <row r="161" spans="1:15" ht="15.75">
      <c r="A161" s="28"/>
      <c r="B161" s="29" t="s">
        <v>113</v>
      </c>
      <c r="C161" s="29"/>
      <c r="D161" s="29"/>
      <c r="E161" s="29"/>
      <c r="F161" s="29"/>
      <c r="G161" s="29"/>
      <c r="H161" s="29"/>
      <c r="I161" s="66"/>
      <c r="J161" s="29"/>
      <c r="K161" s="66"/>
      <c r="L161" s="29"/>
      <c r="M161" s="66" t="s">
        <v>224</v>
      </c>
      <c r="N161" s="29"/>
      <c r="O161" s="6"/>
    </row>
    <row r="162" spans="1:15" ht="15.75">
      <c r="A162" s="28"/>
      <c r="B162" s="29" t="s">
        <v>114</v>
      </c>
      <c r="C162" s="29"/>
      <c r="D162" s="29"/>
      <c r="E162" s="29"/>
      <c r="F162" s="29"/>
      <c r="G162" s="29"/>
      <c r="H162" s="29"/>
      <c r="I162" s="66"/>
      <c r="J162" s="29"/>
      <c r="K162" s="53"/>
      <c r="L162" s="29"/>
      <c r="M162" s="66"/>
      <c r="N162" s="29"/>
      <c r="O162" s="6"/>
    </row>
    <row r="163" spans="1:15" ht="15.75">
      <c r="A163" s="28"/>
      <c r="B163" s="29"/>
      <c r="C163" s="29"/>
      <c r="D163" s="29"/>
      <c r="E163" s="29"/>
      <c r="F163" s="29"/>
      <c r="G163" s="29"/>
      <c r="H163" s="29"/>
      <c r="I163" s="29"/>
      <c r="J163" s="29"/>
      <c r="K163" s="29"/>
      <c r="L163" s="29"/>
      <c r="M163" s="82"/>
      <c r="N163" s="29"/>
      <c r="O163" s="6"/>
    </row>
    <row r="164" spans="1:15" ht="15.75">
      <c r="A164" s="7"/>
      <c r="B164" s="9"/>
      <c r="C164" s="9"/>
      <c r="D164" s="9"/>
      <c r="E164" s="9"/>
      <c r="F164" s="9"/>
      <c r="G164" s="9"/>
      <c r="H164" s="9"/>
      <c r="I164" s="9"/>
      <c r="J164" s="9"/>
      <c r="K164" s="9"/>
      <c r="L164" s="9"/>
      <c r="M164" s="64"/>
      <c r="N164" s="9"/>
      <c r="O164" s="6"/>
    </row>
    <row r="165" spans="1:15" ht="15.75">
      <c r="A165" s="7"/>
      <c r="B165" s="158" t="s">
        <v>115</v>
      </c>
      <c r="C165" s="15"/>
      <c r="D165" s="15"/>
      <c r="E165" s="9"/>
      <c r="F165" s="9"/>
      <c r="G165" s="9"/>
      <c r="H165" s="9"/>
      <c r="I165" s="9"/>
      <c r="J165" s="9"/>
      <c r="K165" s="9"/>
      <c r="L165" s="9"/>
      <c r="M165" s="88"/>
      <c r="N165" s="9"/>
      <c r="O165" s="6"/>
    </row>
    <row r="166" spans="1:15" ht="15.75">
      <c r="A166" s="28"/>
      <c r="B166" s="29" t="s">
        <v>116</v>
      </c>
      <c r="C166" s="29"/>
      <c r="D166" s="29"/>
      <c r="E166" s="29"/>
      <c r="F166" s="29"/>
      <c r="G166" s="29"/>
      <c r="H166" s="29"/>
      <c r="I166" s="29"/>
      <c r="J166" s="29"/>
      <c r="K166" s="29"/>
      <c r="L166" s="29"/>
      <c r="M166" s="73">
        <f>(M88+M90+M91+M93)/-M92</f>
        <v>3.44738262277388</v>
      </c>
      <c r="N166" s="29" t="s">
        <v>225</v>
      </c>
      <c r="O166" s="6"/>
    </row>
    <row r="167" spans="1:15" ht="15.75">
      <c r="A167" s="28"/>
      <c r="B167" s="29" t="s">
        <v>117</v>
      </c>
      <c r="C167" s="29"/>
      <c r="D167" s="29"/>
      <c r="E167" s="29"/>
      <c r="F167" s="29"/>
      <c r="G167" s="29"/>
      <c r="H167" s="29"/>
      <c r="I167" s="29"/>
      <c r="J167" s="29"/>
      <c r="K167" s="29"/>
      <c r="L167" s="29"/>
      <c r="M167" s="89">
        <v>2.79</v>
      </c>
      <c r="N167" s="29" t="s">
        <v>225</v>
      </c>
      <c r="O167" s="6"/>
    </row>
    <row r="168" spans="1:15" ht="15.75">
      <c r="A168" s="28"/>
      <c r="B168" s="29" t="s">
        <v>118</v>
      </c>
      <c r="C168" s="29"/>
      <c r="D168" s="29"/>
      <c r="E168" s="29"/>
      <c r="F168" s="29"/>
      <c r="G168" s="29"/>
      <c r="H168" s="29"/>
      <c r="I168" s="29"/>
      <c r="J168" s="29"/>
      <c r="K168" s="29"/>
      <c r="L168" s="29"/>
      <c r="M168" s="73">
        <f>(M88+M90+M91+M92+M93+M94)/-M95</f>
        <v>22.65</v>
      </c>
      <c r="N168" s="29" t="s">
        <v>225</v>
      </c>
      <c r="O168" s="6"/>
    </row>
    <row r="169" spans="1:15" ht="15.75">
      <c r="A169" s="28"/>
      <c r="B169" s="29" t="s">
        <v>119</v>
      </c>
      <c r="C169" s="29"/>
      <c r="D169" s="29"/>
      <c r="E169" s="29"/>
      <c r="F169" s="29"/>
      <c r="G169" s="29"/>
      <c r="H169" s="29"/>
      <c r="I169" s="29"/>
      <c r="J169" s="29"/>
      <c r="K169" s="29"/>
      <c r="L169" s="29"/>
      <c r="M169" s="90">
        <v>16.81</v>
      </c>
      <c r="N169" s="29" t="s">
        <v>225</v>
      </c>
      <c r="O169" s="6"/>
    </row>
    <row r="170" spans="1:15" ht="15.75">
      <c r="A170" s="28"/>
      <c r="B170" s="29" t="s">
        <v>120</v>
      </c>
      <c r="C170" s="29"/>
      <c r="D170" s="29"/>
      <c r="E170" s="29"/>
      <c r="F170" s="29"/>
      <c r="G170" s="29"/>
      <c r="H170" s="29"/>
      <c r="I170" s="29"/>
      <c r="J170" s="29"/>
      <c r="K170" s="29"/>
      <c r="L170" s="29"/>
      <c r="M170" s="73">
        <f>(M88+M90+M91+M92+M93+M94+M95)/-M96</f>
        <v>30.492957746478872</v>
      </c>
      <c r="N170" s="29" t="s">
        <v>225</v>
      </c>
      <c r="O170" s="6"/>
    </row>
    <row r="171" spans="1:15" ht="15.75">
      <c r="A171" s="28"/>
      <c r="B171" s="29" t="s">
        <v>121</v>
      </c>
      <c r="C171" s="29"/>
      <c r="D171" s="29"/>
      <c r="E171" s="29"/>
      <c r="F171" s="29"/>
      <c r="G171" s="29"/>
      <c r="H171" s="29"/>
      <c r="I171" s="29"/>
      <c r="J171" s="29"/>
      <c r="K171" s="29"/>
      <c r="L171" s="29"/>
      <c r="M171" s="89">
        <v>22.79</v>
      </c>
      <c r="N171" s="29" t="s">
        <v>225</v>
      </c>
      <c r="O171" s="6"/>
    </row>
    <row r="172" spans="1:15" ht="15.75">
      <c r="A172" s="28"/>
      <c r="B172" s="29"/>
      <c r="C172" s="29"/>
      <c r="D172" s="29"/>
      <c r="E172" s="29"/>
      <c r="F172" s="29"/>
      <c r="G172" s="29"/>
      <c r="H172" s="29"/>
      <c r="I172" s="29"/>
      <c r="J172" s="29"/>
      <c r="K172" s="29"/>
      <c r="L172" s="29"/>
      <c r="M172" s="29"/>
      <c r="N172" s="29"/>
      <c r="O172" s="6"/>
    </row>
    <row r="173" spans="1:15" ht="15.75">
      <c r="A173" s="7"/>
      <c r="B173" s="9"/>
      <c r="C173" s="9"/>
      <c r="D173" s="9"/>
      <c r="E173" s="9"/>
      <c r="F173" s="9"/>
      <c r="G173" s="9"/>
      <c r="H173" s="9"/>
      <c r="I173" s="9"/>
      <c r="J173" s="9"/>
      <c r="K173" s="9"/>
      <c r="L173" s="9"/>
      <c r="M173" s="9"/>
      <c r="N173" s="9"/>
      <c r="O173" s="6"/>
    </row>
    <row r="174" spans="1:15" ht="16.5" thickBot="1">
      <c r="A174" s="134"/>
      <c r="B174" s="135" t="str">
        <f>B116</f>
        <v>PASF1 INVESTOR REPORT QUARTER ENDING OCTOBER 2002</v>
      </c>
      <c r="C174" s="136"/>
      <c r="D174" s="136"/>
      <c r="E174" s="136"/>
      <c r="F174" s="136"/>
      <c r="G174" s="136"/>
      <c r="H174" s="136"/>
      <c r="I174" s="136"/>
      <c r="J174" s="136"/>
      <c r="K174" s="136"/>
      <c r="L174" s="136"/>
      <c r="M174" s="136"/>
      <c r="N174" s="138"/>
      <c r="O174" s="6"/>
    </row>
    <row r="175" spans="1:15" ht="15.75">
      <c r="A175" s="2"/>
      <c r="B175" s="91"/>
      <c r="C175" s="91"/>
      <c r="D175" s="91"/>
      <c r="E175" s="91"/>
      <c r="F175" s="91"/>
      <c r="G175" s="91"/>
      <c r="H175" s="91"/>
      <c r="I175" s="91"/>
      <c r="J175" s="91"/>
      <c r="K175" s="91"/>
      <c r="L175" s="91"/>
      <c r="M175" s="91"/>
      <c r="N175" s="91"/>
      <c r="O175" s="6"/>
    </row>
    <row r="176" spans="1:15" ht="15.75">
      <c r="A176" s="92"/>
      <c r="B176" s="63" t="s">
        <v>122</v>
      </c>
      <c r="C176" s="93"/>
      <c r="D176" s="93"/>
      <c r="E176" s="93" t="s">
        <v>178</v>
      </c>
      <c r="F176" s="93"/>
      <c r="G176" s="94" t="s">
        <v>181</v>
      </c>
      <c r="H176" s="94"/>
      <c r="I176" s="94"/>
      <c r="J176" s="22"/>
      <c r="K176" s="22">
        <v>37560</v>
      </c>
      <c r="L176" s="18"/>
      <c r="M176" s="18"/>
      <c r="N176" s="9"/>
      <c r="O176" s="6"/>
    </row>
    <row r="177" spans="1:15" ht="15.75">
      <c r="A177" s="95"/>
      <c r="B177" s="74" t="s">
        <v>123</v>
      </c>
      <c r="C177" s="96"/>
      <c r="D177" s="96"/>
      <c r="E177" s="97">
        <v>0.12505</v>
      </c>
      <c r="F177" s="96"/>
      <c r="G177" s="97">
        <v>0.13752</v>
      </c>
      <c r="H177" s="86"/>
      <c r="I177" s="86"/>
      <c r="J177" s="86"/>
      <c r="K177" s="97">
        <v>0.13157</v>
      </c>
      <c r="L177" s="29"/>
      <c r="M177" s="29"/>
      <c r="N177" s="29"/>
      <c r="O177" s="6"/>
    </row>
    <row r="178" spans="1:15" ht="15.75">
      <c r="A178" s="95"/>
      <c r="B178" s="74" t="s">
        <v>124</v>
      </c>
      <c r="C178" s="96"/>
      <c r="D178" s="96"/>
      <c r="E178" s="97"/>
      <c r="F178" s="96"/>
      <c r="G178" s="97"/>
      <c r="H178" s="86"/>
      <c r="I178" s="86"/>
      <c r="J178" s="86"/>
      <c r="K178" s="97">
        <v>0.0654</v>
      </c>
      <c r="L178" s="97"/>
      <c r="M178" s="29"/>
      <c r="N178" s="29"/>
      <c r="O178" s="6"/>
    </row>
    <row r="179" spans="1:15" ht="15.75">
      <c r="A179" s="95"/>
      <c r="B179" s="74" t="s">
        <v>125</v>
      </c>
      <c r="C179" s="96"/>
      <c r="D179" s="96"/>
      <c r="E179" s="96"/>
      <c r="F179" s="96"/>
      <c r="G179" s="96"/>
      <c r="H179" s="86"/>
      <c r="I179" s="86"/>
      <c r="J179" s="86"/>
      <c r="K179" s="97">
        <f>K177-K178</f>
        <v>0.06616999999999999</v>
      </c>
      <c r="L179" s="29"/>
      <c r="M179" s="29"/>
      <c r="N179" s="29"/>
      <c r="O179" s="6"/>
    </row>
    <row r="180" spans="1:15" ht="15.75">
      <c r="A180" s="95"/>
      <c r="B180" s="74" t="s">
        <v>126</v>
      </c>
      <c r="C180" s="96"/>
      <c r="D180" s="96"/>
      <c r="E180" s="98">
        <v>0.1095</v>
      </c>
      <c r="F180" s="98"/>
      <c r="G180" s="98">
        <v>0.12</v>
      </c>
      <c r="H180" s="86"/>
      <c r="I180" s="86"/>
      <c r="J180" s="86"/>
      <c r="K180" s="97">
        <v>0.11529</v>
      </c>
      <c r="L180" s="29"/>
      <c r="M180" s="29"/>
      <c r="N180" s="29"/>
      <c r="O180" s="6"/>
    </row>
    <row r="181" spans="1:15" ht="15.75">
      <c r="A181" s="95"/>
      <c r="B181" s="74" t="s">
        <v>127</v>
      </c>
      <c r="C181" s="96"/>
      <c r="D181" s="96"/>
      <c r="E181" s="96"/>
      <c r="F181" s="96"/>
      <c r="G181" s="96"/>
      <c r="H181" s="86"/>
      <c r="I181" s="86"/>
      <c r="J181" s="86"/>
      <c r="K181" s="97">
        <f>M32</f>
        <v>0.04467218215058616</v>
      </c>
      <c r="L181" s="29"/>
      <c r="M181" s="29"/>
      <c r="N181" s="29"/>
      <c r="O181" s="6"/>
    </row>
    <row r="182" spans="1:15" ht="15.75">
      <c r="A182" s="95"/>
      <c r="B182" s="74" t="s">
        <v>128</v>
      </c>
      <c r="C182" s="96"/>
      <c r="D182" s="96"/>
      <c r="E182" s="96"/>
      <c r="F182" s="96"/>
      <c r="G182" s="96"/>
      <c r="H182" s="86"/>
      <c r="I182" s="86"/>
      <c r="J182" s="86"/>
      <c r="K182" s="97">
        <f>K180-K181</f>
        <v>0.07061781784941384</v>
      </c>
      <c r="L182" s="29"/>
      <c r="M182" s="29"/>
      <c r="N182" s="29"/>
      <c r="O182" s="6"/>
    </row>
    <row r="183" spans="1:15" ht="15.75">
      <c r="A183" s="95"/>
      <c r="B183" s="74" t="s">
        <v>129</v>
      </c>
      <c r="C183" s="96"/>
      <c r="D183" s="96"/>
      <c r="E183" s="96"/>
      <c r="F183" s="96"/>
      <c r="G183" s="96"/>
      <c r="H183" s="86"/>
      <c r="I183" s="86"/>
      <c r="J183" s="86"/>
      <c r="K183" s="97" t="s">
        <v>211</v>
      </c>
      <c r="L183" s="29"/>
      <c r="M183" s="29"/>
      <c r="N183" s="29"/>
      <c r="O183" s="6"/>
    </row>
    <row r="184" spans="1:15" ht="15.75">
      <c r="A184" s="95"/>
      <c r="B184" s="74" t="s">
        <v>130</v>
      </c>
      <c r="C184" s="96"/>
      <c r="D184" s="96"/>
      <c r="E184" s="96"/>
      <c r="F184" s="96"/>
      <c r="G184" s="96"/>
      <c r="H184" s="86"/>
      <c r="I184" s="86"/>
      <c r="J184" s="86"/>
      <c r="K184" s="97" t="s">
        <v>212</v>
      </c>
      <c r="L184" s="29"/>
      <c r="M184" s="29"/>
      <c r="N184" s="29"/>
      <c r="O184" s="6"/>
    </row>
    <row r="185" spans="1:15" ht="15.75">
      <c r="A185" s="95"/>
      <c r="B185" s="74" t="s">
        <v>131</v>
      </c>
      <c r="C185" s="96"/>
      <c r="D185" s="96"/>
      <c r="E185" s="99">
        <v>9.94</v>
      </c>
      <c r="F185" s="96"/>
      <c r="G185" s="99">
        <v>3.91</v>
      </c>
      <c r="H185" s="86"/>
      <c r="I185" s="86"/>
      <c r="J185" s="86"/>
      <c r="K185" s="100">
        <v>6.791</v>
      </c>
      <c r="L185" s="29"/>
      <c r="M185" s="29"/>
      <c r="N185" s="29"/>
      <c r="O185" s="6"/>
    </row>
    <row r="186" spans="1:15" ht="15.75">
      <c r="A186" s="95"/>
      <c r="B186" s="74" t="s">
        <v>132</v>
      </c>
      <c r="C186" s="96"/>
      <c r="D186" s="96"/>
      <c r="E186" s="101">
        <v>10.905</v>
      </c>
      <c r="F186" s="99"/>
      <c r="G186" s="99">
        <v>3.08</v>
      </c>
      <c r="H186" s="86"/>
      <c r="I186" s="86"/>
      <c r="J186" s="86"/>
      <c r="K186" s="100">
        <v>6.607</v>
      </c>
      <c r="L186" s="29"/>
      <c r="M186" s="29"/>
      <c r="N186" s="29"/>
      <c r="O186" s="6"/>
    </row>
    <row r="187" spans="1:15" ht="15.75">
      <c r="A187" s="95"/>
      <c r="B187" s="74" t="s">
        <v>231</v>
      </c>
      <c r="C187" s="96"/>
      <c r="D187" s="96"/>
      <c r="E187" s="101"/>
      <c r="F187" s="99"/>
      <c r="G187" s="99"/>
      <c r="H187" s="86"/>
      <c r="I187" s="86"/>
      <c r="J187" s="86"/>
      <c r="K187" s="97">
        <v>0.054</v>
      </c>
      <c r="L187" s="29"/>
      <c r="M187" s="29"/>
      <c r="N187" s="29"/>
      <c r="O187" s="6"/>
    </row>
    <row r="188" spans="1:15" ht="15.75">
      <c r="A188" s="95"/>
      <c r="B188" s="74" t="s">
        <v>232</v>
      </c>
      <c r="C188" s="96"/>
      <c r="D188" s="96"/>
      <c r="E188" s="101"/>
      <c r="F188" s="99"/>
      <c r="G188" s="99"/>
      <c r="H188" s="86"/>
      <c r="I188" s="86"/>
      <c r="J188" s="86"/>
      <c r="K188" s="97">
        <v>0.1872</v>
      </c>
      <c r="L188" s="29"/>
      <c r="M188" s="29"/>
      <c r="N188" s="29"/>
      <c r="O188" s="6"/>
    </row>
    <row r="189" spans="1:15" ht="15.75">
      <c r="A189" s="95"/>
      <c r="B189" s="74" t="s">
        <v>233</v>
      </c>
      <c r="C189" s="96"/>
      <c r="D189" s="96"/>
      <c r="E189" s="101"/>
      <c r="F189" s="99"/>
      <c r="G189" s="99"/>
      <c r="H189" s="86"/>
      <c r="I189" s="86"/>
      <c r="J189" s="86"/>
      <c r="K189" s="97">
        <v>0.1112</v>
      </c>
      <c r="L189" s="29"/>
      <c r="M189" s="29"/>
      <c r="N189" s="29"/>
      <c r="O189" s="6"/>
    </row>
    <row r="190" spans="1:15" ht="15.75">
      <c r="A190" s="95"/>
      <c r="B190" s="74" t="s">
        <v>234</v>
      </c>
      <c r="C190" s="96"/>
      <c r="D190" s="96"/>
      <c r="E190" s="101"/>
      <c r="F190" s="99"/>
      <c r="G190" s="99"/>
      <c r="H190" s="86"/>
      <c r="I190" s="86"/>
      <c r="J190" s="86"/>
      <c r="K190" s="97">
        <v>0.3091</v>
      </c>
      <c r="L190" s="29"/>
      <c r="M190" s="29"/>
      <c r="N190" s="29"/>
      <c r="O190" s="6"/>
    </row>
    <row r="191" spans="1:15" ht="15.75">
      <c r="A191" s="95"/>
      <c r="B191" s="74"/>
      <c r="C191" s="74"/>
      <c r="D191" s="74"/>
      <c r="E191" s="74"/>
      <c r="F191" s="74"/>
      <c r="G191" s="74"/>
      <c r="H191" s="29"/>
      <c r="I191" s="29"/>
      <c r="J191" s="37"/>
      <c r="K191" s="102"/>
      <c r="L191" s="29"/>
      <c r="M191" s="103"/>
      <c r="N191" s="29"/>
      <c r="O191" s="6"/>
    </row>
    <row r="192" spans="1:15" ht="15.75">
      <c r="A192" s="104"/>
      <c r="B192" s="17" t="s">
        <v>134</v>
      </c>
      <c r="C192" s="20"/>
      <c r="D192" s="20"/>
      <c r="E192" s="105"/>
      <c r="F192" s="20"/>
      <c r="G192" s="105"/>
      <c r="H192" s="20"/>
      <c r="I192" s="105"/>
      <c r="J192" s="20" t="s">
        <v>206</v>
      </c>
      <c r="K192" s="105" t="s">
        <v>213</v>
      </c>
      <c r="L192" s="18"/>
      <c r="M192" s="18"/>
      <c r="N192" s="9"/>
      <c r="O192" s="6"/>
    </row>
    <row r="193" spans="1:15" ht="15.75">
      <c r="A193" s="106"/>
      <c r="B193" s="74" t="s">
        <v>135</v>
      </c>
      <c r="C193" s="67"/>
      <c r="D193" s="67"/>
      <c r="E193" s="67"/>
      <c r="F193" s="67"/>
      <c r="G193" s="29"/>
      <c r="H193" s="29"/>
      <c r="I193" s="29"/>
      <c r="J193" s="29">
        <v>93</v>
      </c>
      <c r="K193" s="66">
        <v>561</v>
      </c>
      <c r="L193" s="66"/>
      <c r="M193" s="103"/>
      <c r="N193" s="107"/>
      <c r="O193" s="6"/>
    </row>
    <row r="194" spans="1:15" ht="15.75">
      <c r="A194" s="106"/>
      <c r="B194" s="74" t="s">
        <v>136</v>
      </c>
      <c r="C194" s="67"/>
      <c r="D194" s="67"/>
      <c r="E194" s="67"/>
      <c r="F194" s="67"/>
      <c r="G194" s="29"/>
      <c r="H194" s="29"/>
      <c r="I194" s="29"/>
      <c r="J194" s="29">
        <v>48</v>
      </c>
      <c r="K194" s="66">
        <v>255</v>
      </c>
      <c r="L194" s="66"/>
      <c r="M194" s="103"/>
      <c r="N194" s="107"/>
      <c r="O194" s="6"/>
    </row>
    <row r="195" spans="1:15" ht="15.75">
      <c r="A195" s="106"/>
      <c r="B195" s="74"/>
      <c r="C195" s="67"/>
      <c r="D195" s="67"/>
      <c r="E195" s="67"/>
      <c r="F195" s="67"/>
      <c r="G195" s="29"/>
      <c r="H195" s="29"/>
      <c r="I195" s="29"/>
      <c r="J195" s="29"/>
      <c r="K195" s="66"/>
      <c r="L195" s="66"/>
      <c r="M195" s="103"/>
      <c r="N195" s="107"/>
      <c r="O195" s="6"/>
    </row>
    <row r="196" spans="1:15" ht="15.75">
      <c r="A196" s="106"/>
      <c r="B196" s="74" t="s">
        <v>137</v>
      </c>
      <c r="C196" s="67"/>
      <c r="D196" s="67"/>
      <c r="E196" s="67"/>
      <c r="F196" s="67"/>
      <c r="G196" s="29"/>
      <c r="H196" s="29"/>
      <c r="I196" s="29"/>
      <c r="J196" s="29">
        <v>83</v>
      </c>
      <c r="K196" s="66">
        <v>1147</v>
      </c>
      <c r="L196" s="66"/>
      <c r="M196" s="103"/>
      <c r="N196" s="107"/>
      <c r="O196" s="6"/>
    </row>
    <row r="197" spans="1:15" ht="15.75">
      <c r="A197" s="106"/>
      <c r="B197" s="74" t="s">
        <v>138</v>
      </c>
      <c r="C197" s="67"/>
      <c r="D197" s="67"/>
      <c r="E197" s="67"/>
      <c r="F197" s="67"/>
      <c r="G197" s="29"/>
      <c r="H197" s="29"/>
      <c r="I197" s="29"/>
      <c r="J197" s="29">
        <v>4</v>
      </c>
      <c r="K197" s="66">
        <v>36</v>
      </c>
      <c r="L197" s="66"/>
      <c r="M197" s="103"/>
      <c r="N197" s="107"/>
      <c r="O197" s="6"/>
    </row>
    <row r="198" spans="1:15" ht="15.75">
      <c r="A198" s="106"/>
      <c r="B198" s="74"/>
      <c r="C198" s="67"/>
      <c r="D198" s="67"/>
      <c r="E198" s="67"/>
      <c r="F198" s="67"/>
      <c r="G198" s="29"/>
      <c r="H198" s="29"/>
      <c r="I198" s="29"/>
      <c r="J198" s="29"/>
      <c r="K198" s="66"/>
      <c r="L198" s="66"/>
      <c r="M198" s="103"/>
      <c r="N198" s="107"/>
      <c r="O198" s="6"/>
    </row>
    <row r="199" spans="1:15" ht="15.75">
      <c r="A199" s="106"/>
      <c r="B199" s="162" t="s">
        <v>139</v>
      </c>
      <c r="C199" s="67"/>
      <c r="D199" s="67"/>
      <c r="E199" s="67"/>
      <c r="F199" s="67"/>
      <c r="G199" s="29"/>
      <c r="H199" s="29"/>
      <c r="I199" s="29"/>
      <c r="J199" s="29"/>
      <c r="K199" s="73" t="s">
        <v>214</v>
      </c>
      <c r="L199" s="29"/>
      <c r="M199" s="103"/>
      <c r="N199" s="107"/>
      <c r="O199" s="6"/>
    </row>
    <row r="200" spans="1:15" ht="15.75">
      <c r="A200" s="106"/>
      <c r="B200" s="162" t="s">
        <v>140</v>
      </c>
      <c r="C200" s="67"/>
      <c r="D200" s="67"/>
      <c r="E200" s="67"/>
      <c r="F200" s="67"/>
      <c r="G200" s="29"/>
      <c r="H200" s="29"/>
      <c r="I200" s="29"/>
      <c r="J200" s="29"/>
      <c r="K200" s="66">
        <f>-I72</f>
        <v>26323</v>
      </c>
      <c r="L200" s="29"/>
      <c r="M200" s="103"/>
      <c r="N200" s="107"/>
      <c r="O200" s="6"/>
    </row>
    <row r="201" spans="1:15" ht="15.75">
      <c r="A201" s="108"/>
      <c r="B201" s="162" t="s">
        <v>141</v>
      </c>
      <c r="C201" s="67"/>
      <c r="D201" s="67"/>
      <c r="E201" s="74"/>
      <c r="F201" s="74"/>
      <c r="G201" s="74"/>
      <c r="H201" s="29"/>
      <c r="I201" s="29"/>
      <c r="J201" s="29"/>
      <c r="K201" s="73"/>
      <c r="L201" s="29"/>
      <c r="M201" s="103"/>
      <c r="N201" s="109"/>
      <c r="O201" s="6"/>
    </row>
    <row r="202" spans="1:15" ht="15.75">
      <c r="A202" s="108"/>
      <c r="B202" s="74" t="s">
        <v>142</v>
      </c>
      <c r="C202" s="67"/>
      <c r="D202" s="67"/>
      <c r="E202" s="74"/>
      <c r="F202" s="74"/>
      <c r="G202" s="74"/>
      <c r="H202" s="29"/>
      <c r="I202" s="29"/>
      <c r="J202" s="29"/>
      <c r="K202" s="89">
        <f>I142</f>
        <v>967</v>
      </c>
      <c r="L202" s="29"/>
      <c r="M202" s="103"/>
      <c r="N202" s="109"/>
      <c r="O202" s="6"/>
    </row>
    <row r="203" spans="1:15" ht="15.75">
      <c r="A203" s="108"/>
      <c r="B203" s="74" t="s">
        <v>143</v>
      </c>
      <c r="C203" s="67"/>
      <c r="D203" s="67"/>
      <c r="E203" s="74"/>
      <c r="F203" s="74"/>
      <c r="G203" s="74"/>
      <c r="H203" s="29"/>
      <c r="I203" s="29"/>
      <c r="J203" s="29"/>
      <c r="K203" s="89">
        <f>'July 2002'!K203+I142</f>
        <v>3035</v>
      </c>
      <c r="L203" s="29"/>
      <c r="M203" s="103"/>
      <c r="N203" s="109"/>
      <c r="O203" s="6"/>
    </row>
    <row r="204" spans="1:15" ht="15.75">
      <c r="A204" s="108"/>
      <c r="B204" s="74" t="s">
        <v>144</v>
      </c>
      <c r="C204" s="67"/>
      <c r="D204" s="67"/>
      <c r="E204" s="74"/>
      <c r="F204" s="74"/>
      <c r="G204" s="74"/>
      <c r="H204" s="29"/>
      <c r="I204" s="29"/>
      <c r="J204" s="29"/>
      <c r="K204" s="89">
        <f>39+13+24+37+79+95</f>
        <v>287</v>
      </c>
      <c r="L204" s="29"/>
      <c r="M204" s="103"/>
      <c r="N204" s="109"/>
      <c r="O204" s="6"/>
    </row>
    <row r="205" spans="1:15" ht="15.75">
      <c r="A205" s="108"/>
      <c r="B205" s="74"/>
      <c r="C205" s="67"/>
      <c r="D205" s="67"/>
      <c r="E205" s="74"/>
      <c r="F205" s="74"/>
      <c r="G205" s="74"/>
      <c r="H205" s="29"/>
      <c r="I205" s="29"/>
      <c r="J205" s="29"/>
      <c r="K205" s="89"/>
      <c r="L205" s="29"/>
      <c r="M205" s="103"/>
      <c r="N205" s="109"/>
      <c r="O205" s="6"/>
    </row>
    <row r="206" spans="1:15" ht="15.75">
      <c r="A206" s="106"/>
      <c r="B206" s="74" t="s">
        <v>145</v>
      </c>
      <c r="C206" s="67"/>
      <c r="D206" s="67"/>
      <c r="E206" s="67"/>
      <c r="F206" s="67"/>
      <c r="G206" s="67"/>
      <c r="H206" s="29"/>
      <c r="I206" s="29"/>
      <c r="J206" s="29"/>
      <c r="K206" s="66">
        <f>G142</f>
        <v>54</v>
      </c>
      <c r="L206" s="29"/>
      <c r="M206" s="103"/>
      <c r="N206" s="109"/>
      <c r="O206" s="6"/>
    </row>
    <row r="207" spans="1:15" ht="15.75">
      <c r="A207" s="106"/>
      <c r="B207" s="74" t="s">
        <v>146</v>
      </c>
      <c r="C207" s="67"/>
      <c r="D207" s="67"/>
      <c r="E207" s="67"/>
      <c r="F207" s="67"/>
      <c r="G207" s="67"/>
      <c r="H207" s="29"/>
      <c r="I207" s="29"/>
      <c r="J207" s="29"/>
      <c r="K207" s="66">
        <f>'July 2002'!K207+G142</f>
        <v>452</v>
      </c>
      <c r="L207" s="29"/>
      <c r="M207" s="103"/>
      <c r="N207" s="109"/>
      <c r="O207" s="6"/>
    </row>
    <row r="208" spans="1:15" ht="15.75">
      <c r="A208" s="106"/>
      <c r="B208" s="74" t="s">
        <v>144</v>
      </c>
      <c r="C208" s="67"/>
      <c r="D208" s="67"/>
      <c r="E208" s="67"/>
      <c r="F208" s="67"/>
      <c r="G208" s="67"/>
      <c r="H208" s="29"/>
      <c r="I208" s="29"/>
      <c r="J208" s="29"/>
      <c r="K208" s="66"/>
      <c r="L208" s="29"/>
      <c r="M208" s="103"/>
      <c r="N208" s="109"/>
      <c r="O208" s="6"/>
    </row>
    <row r="209" spans="1:15" ht="15.75">
      <c r="A209" s="106"/>
      <c r="B209" s="74"/>
      <c r="C209" s="67"/>
      <c r="D209" s="67"/>
      <c r="E209" s="67"/>
      <c r="F209" s="67"/>
      <c r="G209" s="67"/>
      <c r="H209" s="29"/>
      <c r="I209" s="29"/>
      <c r="J209" s="29"/>
      <c r="K209" s="66"/>
      <c r="L209" s="29"/>
      <c r="M209" s="103"/>
      <c r="N209" s="109"/>
      <c r="O209" s="6"/>
    </row>
    <row r="210" spans="1:15" ht="15.75">
      <c r="A210" s="108"/>
      <c r="B210" s="162" t="s">
        <v>147</v>
      </c>
      <c r="C210" s="67"/>
      <c r="D210" s="67"/>
      <c r="E210" s="74"/>
      <c r="F210" s="74"/>
      <c r="G210" s="74"/>
      <c r="H210" s="29"/>
      <c r="I210" s="29"/>
      <c r="J210" s="29"/>
      <c r="K210" s="110"/>
      <c r="L210" s="29"/>
      <c r="M210" s="103"/>
      <c r="N210" s="109"/>
      <c r="O210" s="6"/>
    </row>
    <row r="211" spans="1:15" ht="15.75">
      <c r="A211" s="108"/>
      <c r="B211" s="74" t="s">
        <v>148</v>
      </c>
      <c r="C211" s="67"/>
      <c r="D211" s="67"/>
      <c r="E211" s="74"/>
      <c r="F211" s="74"/>
      <c r="G211" s="74"/>
      <c r="H211" s="29"/>
      <c r="I211" s="29"/>
      <c r="J211" s="29"/>
      <c r="K211" s="110">
        <v>0</v>
      </c>
      <c r="L211" s="29"/>
      <c r="M211" s="103"/>
      <c r="N211" s="109"/>
      <c r="O211" s="6"/>
    </row>
    <row r="212" spans="1:15" ht="15.75">
      <c r="A212" s="106"/>
      <c r="B212" s="74" t="s">
        <v>149</v>
      </c>
      <c r="C212" s="67"/>
      <c r="D212" s="67"/>
      <c r="E212" s="111"/>
      <c r="F212" s="111"/>
      <c r="G212" s="112"/>
      <c r="H212" s="29"/>
      <c r="I212" s="29"/>
      <c r="J212" s="29"/>
      <c r="K212" s="110">
        <v>0</v>
      </c>
      <c r="L212" s="29"/>
      <c r="M212" s="103"/>
      <c r="N212" s="109"/>
      <c r="O212" s="6"/>
    </row>
    <row r="213" spans="1:15" ht="15.75">
      <c r="A213" s="106"/>
      <c r="B213" s="74" t="s">
        <v>150</v>
      </c>
      <c r="C213" s="67"/>
      <c r="D213" s="67"/>
      <c r="E213" s="111"/>
      <c r="F213" s="111"/>
      <c r="G213" s="112"/>
      <c r="H213" s="29"/>
      <c r="I213" s="29"/>
      <c r="J213" s="29"/>
      <c r="K213" s="110">
        <v>0</v>
      </c>
      <c r="L213" s="29"/>
      <c r="M213" s="103"/>
      <c r="N213" s="109"/>
      <c r="O213" s="6"/>
    </row>
    <row r="214" spans="1:15" ht="15.75">
      <c r="A214" s="106"/>
      <c r="B214" s="74" t="s">
        <v>151</v>
      </c>
      <c r="C214" s="67"/>
      <c r="D214" s="67"/>
      <c r="E214" s="113"/>
      <c r="F214" s="111"/>
      <c r="G214" s="112"/>
      <c r="H214" s="29"/>
      <c r="I214" s="29"/>
      <c r="J214" s="29"/>
      <c r="K214" s="110">
        <v>0</v>
      </c>
      <c r="L214" s="29"/>
      <c r="M214" s="103"/>
      <c r="N214" s="109"/>
      <c r="O214" s="6"/>
    </row>
    <row r="215" spans="1:15" ht="15.75">
      <c r="A215" s="106"/>
      <c r="B215" s="74"/>
      <c r="C215" s="67"/>
      <c r="D215" s="67"/>
      <c r="E215" s="113"/>
      <c r="F215" s="111"/>
      <c r="G215" s="112"/>
      <c r="H215" s="29"/>
      <c r="I215" s="37"/>
      <c r="J215" s="37"/>
      <c r="K215" s="114"/>
      <c r="L215" s="37"/>
      <c r="M215" s="103"/>
      <c r="N215" s="109"/>
      <c r="O215" s="6"/>
    </row>
    <row r="216" spans="1:15" ht="15.75">
      <c r="A216" s="106"/>
      <c r="B216" s="162" t="s">
        <v>152</v>
      </c>
      <c r="C216" s="67"/>
      <c r="D216" s="67"/>
      <c r="E216" s="113"/>
      <c r="F216" s="111"/>
      <c r="G216" s="112"/>
      <c r="H216" s="29"/>
      <c r="I216" s="37"/>
      <c r="J216" s="37"/>
      <c r="K216" s="114"/>
      <c r="L216" s="37"/>
      <c r="M216" s="103"/>
      <c r="N216" s="109"/>
      <c r="O216" s="6"/>
    </row>
    <row r="217" spans="1:15" ht="15.75">
      <c r="A217" s="106"/>
      <c r="B217" s="74" t="s">
        <v>153</v>
      </c>
      <c r="C217" s="67"/>
      <c r="D217" s="67"/>
      <c r="E217" s="113"/>
      <c r="F217" s="111"/>
      <c r="G217" s="112"/>
      <c r="H217" s="29"/>
      <c r="I217" s="37"/>
      <c r="J217" s="37"/>
      <c r="K217" s="115">
        <v>306</v>
      </c>
      <c r="L217" s="37"/>
      <c r="M217" s="103"/>
      <c r="N217" s="109"/>
      <c r="O217" s="6"/>
    </row>
    <row r="218" spans="1:15" ht="15.75">
      <c r="A218" s="106"/>
      <c r="B218" s="74" t="s">
        <v>149</v>
      </c>
      <c r="C218" s="67"/>
      <c r="D218" s="67"/>
      <c r="E218" s="113"/>
      <c r="F218" s="111"/>
      <c r="G218" s="112"/>
      <c r="H218" s="29"/>
      <c r="I218" s="37"/>
      <c r="J218" s="37"/>
      <c r="K218" s="115">
        <v>1.86</v>
      </c>
      <c r="L218" s="37"/>
      <c r="M218" s="103"/>
      <c r="N218" s="109"/>
      <c r="O218" s="6"/>
    </row>
    <row r="219" spans="1:15" ht="15.75">
      <c r="A219" s="106"/>
      <c r="B219" s="74" t="s">
        <v>154</v>
      </c>
      <c r="C219" s="67"/>
      <c r="D219" s="67"/>
      <c r="E219" s="113"/>
      <c r="F219" s="111"/>
      <c r="G219" s="112"/>
      <c r="H219" s="29"/>
      <c r="I219" s="37"/>
      <c r="J219" s="37"/>
      <c r="K219" s="115">
        <v>34</v>
      </c>
      <c r="L219" s="37"/>
      <c r="M219" s="103"/>
      <c r="N219" s="109"/>
      <c r="O219" s="6"/>
    </row>
    <row r="220" spans="1:15" ht="15.75">
      <c r="A220" s="106"/>
      <c r="B220" s="74"/>
      <c r="C220" s="67"/>
      <c r="D220" s="67"/>
      <c r="E220" s="113"/>
      <c r="F220" s="111"/>
      <c r="G220" s="112"/>
      <c r="H220" s="29"/>
      <c r="I220" s="37"/>
      <c r="J220" s="37"/>
      <c r="K220" s="114"/>
      <c r="L220" s="37"/>
      <c r="M220" s="103"/>
      <c r="N220" s="109"/>
      <c r="O220" s="6"/>
    </row>
    <row r="221" spans="1:15" ht="15.75">
      <c r="A221" s="28"/>
      <c r="B221" s="32" t="s">
        <v>155</v>
      </c>
      <c r="C221" s="119"/>
      <c r="D221" s="119"/>
      <c r="E221" s="120"/>
      <c r="F221" s="119"/>
      <c r="G221" s="120"/>
      <c r="H221" s="119"/>
      <c r="I221" s="120" t="s">
        <v>206</v>
      </c>
      <c r="J221" s="119" t="s">
        <v>208</v>
      </c>
      <c r="K221" s="120" t="s">
        <v>215</v>
      </c>
      <c r="L221" s="119" t="s">
        <v>208</v>
      </c>
      <c r="M221" s="121"/>
      <c r="N221" s="109"/>
      <c r="O221" s="6"/>
    </row>
    <row r="222" spans="1:15" ht="15.75">
      <c r="A222" s="28"/>
      <c r="B222" s="67" t="s">
        <v>156</v>
      </c>
      <c r="C222" s="116"/>
      <c r="D222" s="116"/>
      <c r="E222" s="67"/>
      <c r="F222" s="116"/>
      <c r="G222" s="29"/>
      <c r="H222" s="116"/>
      <c r="I222" s="67">
        <v>6154</v>
      </c>
      <c r="J222" s="116">
        <f>I222/I226</f>
        <v>0.9642745220933876</v>
      </c>
      <c r="K222" s="66">
        <v>73124</v>
      </c>
      <c r="L222" s="117">
        <f>K222/K226</f>
        <v>0.9603004714565249</v>
      </c>
      <c r="M222" s="103"/>
      <c r="N222" s="109"/>
      <c r="O222" s="6"/>
    </row>
    <row r="223" spans="1:15" ht="15.75">
      <c r="A223" s="28"/>
      <c r="B223" s="67" t="s">
        <v>157</v>
      </c>
      <c r="C223" s="116"/>
      <c r="D223" s="116"/>
      <c r="E223" s="67"/>
      <c r="F223" s="116"/>
      <c r="G223" s="29"/>
      <c r="H223" s="118"/>
      <c r="I223" s="67">
        <v>93</v>
      </c>
      <c r="J223" s="116">
        <f>I223/I226</f>
        <v>0.014572234409276089</v>
      </c>
      <c r="K223" s="66">
        <v>1271</v>
      </c>
      <c r="L223" s="117">
        <f>K223/K226</f>
        <v>0.016691399529856724</v>
      </c>
      <c r="M223" s="103"/>
      <c r="N223" s="109"/>
      <c r="O223" s="6"/>
    </row>
    <row r="224" spans="1:15" ht="15.75">
      <c r="A224" s="28"/>
      <c r="B224" s="67" t="s">
        <v>158</v>
      </c>
      <c r="C224" s="116"/>
      <c r="D224" s="116"/>
      <c r="E224" s="67"/>
      <c r="F224" s="116"/>
      <c r="G224" s="29"/>
      <c r="H224" s="118"/>
      <c r="I224" s="67">
        <v>43</v>
      </c>
      <c r="J224" s="116">
        <f>I224/I226</f>
        <v>0.00673769978063303</v>
      </c>
      <c r="K224" s="66">
        <v>554</v>
      </c>
      <c r="L224" s="117">
        <f>K224/K226</f>
        <v>0.007275401525995771</v>
      </c>
      <c r="M224" s="103"/>
      <c r="N224" s="109"/>
      <c r="O224" s="6"/>
    </row>
    <row r="225" spans="1:15" ht="15.75">
      <c r="A225" s="28"/>
      <c r="B225" s="67" t="s">
        <v>159</v>
      </c>
      <c r="C225" s="116"/>
      <c r="D225" s="116"/>
      <c r="E225" s="67"/>
      <c r="F225" s="116"/>
      <c r="G225" s="29"/>
      <c r="H225" s="118"/>
      <c r="I225" s="67">
        <f>25+15+17+25+10</f>
        <v>92</v>
      </c>
      <c r="J225" s="116">
        <f>I225/I226</f>
        <v>0.014415543716703227</v>
      </c>
      <c r="K225" s="66">
        <f>363+214+186+333+102</f>
        <v>1198</v>
      </c>
      <c r="L225" s="117">
        <f>K225/K226</f>
        <v>0.015732727487622625</v>
      </c>
      <c r="M225" s="103"/>
      <c r="N225" s="109"/>
      <c r="O225" s="6"/>
    </row>
    <row r="226" spans="1:15" ht="15.75">
      <c r="A226" s="28"/>
      <c r="B226" s="29"/>
      <c r="C226" s="29"/>
      <c r="D226" s="29"/>
      <c r="E226" s="37"/>
      <c r="F226" s="29"/>
      <c r="G226" s="29"/>
      <c r="H226" s="29"/>
      <c r="I226" s="65">
        <f>SUM(I222:I225)</f>
        <v>6382</v>
      </c>
      <c r="J226" s="117">
        <f>SUM(J222:J225)</f>
        <v>1</v>
      </c>
      <c r="K226" s="66">
        <f>SUM(K222:K225)</f>
        <v>76147</v>
      </c>
      <c r="L226" s="117">
        <f>SUM(L222:L225)</f>
        <v>1</v>
      </c>
      <c r="M226" s="103"/>
      <c r="N226" s="29"/>
      <c r="O226" s="6"/>
    </row>
    <row r="227" spans="1:15" ht="15.75">
      <c r="A227" s="28"/>
      <c r="B227" s="29"/>
      <c r="C227" s="29"/>
      <c r="D227" s="29"/>
      <c r="E227" s="37"/>
      <c r="F227" s="29"/>
      <c r="G227" s="29"/>
      <c r="H227" s="29"/>
      <c r="I227" s="65"/>
      <c r="J227" s="117"/>
      <c r="K227" s="66"/>
      <c r="L227" s="117"/>
      <c r="M227" s="103"/>
      <c r="N227" s="29"/>
      <c r="O227" s="6"/>
    </row>
    <row r="228" spans="1:15" ht="15.75">
      <c r="A228" s="28"/>
      <c r="B228" s="32" t="s">
        <v>160</v>
      </c>
      <c r="C228" s="119"/>
      <c r="D228" s="119"/>
      <c r="E228" s="120"/>
      <c r="F228" s="119"/>
      <c r="G228" s="120"/>
      <c r="H228" s="119"/>
      <c r="I228" s="120" t="s">
        <v>206</v>
      </c>
      <c r="J228" s="119" t="s">
        <v>208</v>
      </c>
      <c r="K228" s="120" t="s">
        <v>215</v>
      </c>
      <c r="L228" s="119" t="s">
        <v>208</v>
      </c>
      <c r="M228" s="121"/>
      <c r="N228" s="109"/>
      <c r="O228" s="6"/>
    </row>
    <row r="229" spans="1:15" ht="15.75">
      <c r="A229" s="28"/>
      <c r="B229" s="67" t="s">
        <v>156</v>
      </c>
      <c r="C229" s="116"/>
      <c r="D229" s="116"/>
      <c r="E229" s="67"/>
      <c r="F229" s="116"/>
      <c r="G229" s="29"/>
      <c r="H229" s="116"/>
      <c r="I229" s="67">
        <v>16893</v>
      </c>
      <c r="J229" s="116">
        <f>I229/I233</f>
        <v>0.9832372970141435</v>
      </c>
      <c r="K229" s="66">
        <v>91152</v>
      </c>
      <c r="L229" s="116">
        <f>K229/K233</f>
        <v>0.9814376157457255</v>
      </c>
      <c r="M229" s="103"/>
      <c r="N229" s="109"/>
      <c r="O229" s="6"/>
    </row>
    <row r="230" spans="1:15" ht="15.75">
      <c r="A230" s="28"/>
      <c r="B230" s="67" t="s">
        <v>157</v>
      </c>
      <c r="C230" s="116"/>
      <c r="D230" s="116"/>
      <c r="E230" s="67"/>
      <c r="F230" s="116"/>
      <c r="G230" s="29"/>
      <c r="H230" s="118"/>
      <c r="I230" s="67">
        <v>134</v>
      </c>
      <c r="J230" s="116">
        <f>I230/I233</f>
        <v>0.007799313194808219</v>
      </c>
      <c r="K230" s="66">
        <v>866</v>
      </c>
      <c r="L230" s="116">
        <f>K230/K233</f>
        <v>0.009324260304061329</v>
      </c>
      <c r="M230" s="103"/>
      <c r="N230" s="109"/>
      <c r="O230" s="6"/>
    </row>
    <row r="231" spans="1:15" ht="15.75">
      <c r="A231" s="28"/>
      <c r="B231" s="67" t="s">
        <v>158</v>
      </c>
      <c r="C231" s="116"/>
      <c r="D231" s="116"/>
      <c r="E231" s="67"/>
      <c r="F231" s="116"/>
      <c r="G231" s="29"/>
      <c r="H231" s="118"/>
      <c r="I231" s="67">
        <v>51</v>
      </c>
      <c r="J231" s="116">
        <f>I231/I233</f>
        <v>0.002968395320412083</v>
      </c>
      <c r="K231" s="66">
        <v>328</v>
      </c>
      <c r="L231" s="116">
        <f>K231/K233</f>
        <v>0.003531590507773806</v>
      </c>
      <c r="M231" s="103"/>
      <c r="N231" s="109"/>
      <c r="O231" s="6"/>
    </row>
    <row r="232" spans="1:15" ht="15.75">
      <c r="A232" s="28"/>
      <c r="B232" s="67" t="s">
        <v>159</v>
      </c>
      <c r="C232" s="116"/>
      <c r="D232" s="116"/>
      <c r="E232" s="67"/>
      <c r="F232" s="116"/>
      <c r="G232" s="29"/>
      <c r="H232" s="118"/>
      <c r="I232" s="67">
        <f>24+18+14+31+16</f>
        <v>103</v>
      </c>
      <c r="J232" s="116">
        <f>I232/I233</f>
        <v>0.005994994470636168</v>
      </c>
      <c r="K232" s="66">
        <f>127+96+62+133+112</f>
        <v>530</v>
      </c>
      <c r="L232" s="116">
        <f>K232/K233</f>
        <v>0.005706533442439382</v>
      </c>
      <c r="M232" s="103"/>
      <c r="N232" s="109"/>
      <c r="O232" s="6"/>
    </row>
    <row r="233" spans="1:15" ht="15.75">
      <c r="A233" s="28"/>
      <c r="B233" s="29"/>
      <c r="C233" s="29"/>
      <c r="D233" s="29"/>
      <c r="E233" s="37"/>
      <c r="F233" s="29"/>
      <c r="G233" s="29"/>
      <c r="H233" s="29"/>
      <c r="I233" s="65">
        <f>SUM(I229:I232)</f>
        <v>17181</v>
      </c>
      <c r="J233" s="117">
        <f>SUM(J229:J232)</f>
        <v>0.9999999999999999</v>
      </c>
      <c r="K233" s="66">
        <f>SUM(K229:K232)</f>
        <v>92876</v>
      </c>
      <c r="L233" s="117">
        <f>SUM(L229:L232)</f>
        <v>1</v>
      </c>
      <c r="M233" s="103"/>
      <c r="N233" s="29"/>
      <c r="O233" s="6"/>
    </row>
    <row r="234" spans="1:15" ht="15.75">
      <c r="A234" s="28"/>
      <c r="B234" s="29"/>
      <c r="C234" s="29"/>
      <c r="D234" s="29"/>
      <c r="E234" s="37"/>
      <c r="F234" s="29"/>
      <c r="G234" s="29"/>
      <c r="H234" s="29"/>
      <c r="I234" s="65"/>
      <c r="J234" s="117"/>
      <c r="K234" s="66"/>
      <c r="L234" s="117"/>
      <c r="M234" s="103"/>
      <c r="N234" s="29"/>
      <c r="O234" s="6"/>
    </row>
    <row r="235" spans="1:15" ht="15.75">
      <c r="A235" s="28"/>
      <c r="B235" s="29" t="s">
        <v>161</v>
      </c>
      <c r="C235" s="29"/>
      <c r="D235" s="29"/>
      <c r="E235" s="37"/>
      <c r="F235" s="29"/>
      <c r="G235" s="29"/>
      <c r="H235" s="29"/>
      <c r="I235" s="65"/>
      <c r="J235" s="117"/>
      <c r="K235" s="66">
        <f>K226+K233</f>
        <v>169023</v>
      </c>
      <c r="L235" s="117"/>
      <c r="M235" s="103"/>
      <c r="N235" s="29"/>
      <c r="O235" s="6"/>
    </row>
    <row r="236" spans="1:15" ht="15.75">
      <c r="A236" s="28"/>
      <c r="B236" s="29"/>
      <c r="C236" s="29"/>
      <c r="D236" s="29"/>
      <c r="E236" s="37"/>
      <c r="F236" s="29"/>
      <c r="G236" s="29"/>
      <c r="H236" s="29"/>
      <c r="I236" s="65"/>
      <c r="J236" s="117"/>
      <c r="K236" s="66"/>
      <c r="L236" s="117"/>
      <c r="M236" s="103"/>
      <c r="N236" s="29"/>
      <c r="O236" s="6"/>
    </row>
    <row r="237" spans="1:15" ht="15.75">
      <c r="A237" s="28"/>
      <c r="B237" s="29"/>
      <c r="C237" s="29"/>
      <c r="D237" s="29"/>
      <c r="E237" s="37"/>
      <c r="F237" s="29"/>
      <c r="G237" s="29"/>
      <c r="H237" s="29"/>
      <c r="I237" s="65"/>
      <c r="J237" s="117"/>
      <c r="K237" s="66"/>
      <c r="L237" s="117"/>
      <c r="M237" s="103"/>
      <c r="N237" s="29"/>
      <c r="O237" s="6"/>
    </row>
    <row r="238" spans="1:15" ht="15.75">
      <c r="A238" s="122"/>
      <c r="B238" s="17" t="s">
        <v>162</v>
      </c>
      <c r="C238" s="123"/>
      <c r="D238" s="123"/>
      <c r="E238" s="20" t="s">
        <v>182</v>
      </c>
      <c r="F238" s="18"/>
      <c r="G238" s="17" t="s">
        <v>194</v>
      </c>
      <c r="H238" s="124"/>
      <c r="I238" s="124"/>
      <c r="J238" s="124"/>
      <c r="K238" s="125"/>
      <c r="L238" s="14"/>
      <c r="M238" s="14"/>
      <c r="N238" s="14"/>
      <c r="O238" s="6"/>
    </row>
    <row r="239" spans="1:15" ht="15.75">
      <c r="A239" s="122"/>
      <c r="B239" s="15" t="s">
        <v>163</v>
      </c>
      <c r="C239" s="126"/>
      <c r="D239" s="126"/>
      <c r="E239" s="127" t="s">
        <v>183</v>
      </c>
      <c r="F239" s="15"/>
      <c r="G239" s="15" t="s">
        <v>195</v>
      </c>
      <c r="H239" s="126"/>
      <c r="I239" s="126"/>
      <c r="J239" s="14"/>
      <c r="K239" s="14"/>
      <c r="L239" s="14"/>
      <c r="M239" s="14"/>
      <c r="N239" s="14"/>
      <c r="O239" s="6"/>
    </row>
    <row r="240" spans="1:15" ht="15.75">
      <c r="A240" s="122"/>
      <c r="B240" s="15" t="s">
        <v>164</v>
      </c>
      <c r="C240" s="126"/>
      <c r="D240" s="126"/>
      <c r="E240" s="127" t="s">
        <v>184</v>
      </c>
      <c r="F240" s="15"/>
      <c r="G240" s="15" t="s">
        <v>196</v>
      </c>
      <c r="H240" s="126"/>
      <c r="I240" s="126"/>
      <c r="J240" s="14"/>
      <c r="K240" s="14"/>
      <c r="L240" s="14"/>
      <c r="M240" s="14"/>
      <c r="N240" s="14"/>
      <c r="O240" s="6"/>
    </row>
    <row r="241" spans="1:15" ht="15.75">
      <c r="A241" s="122"/>
      <c r="B241" s="15"/>
      <c r="C241" s="126"/>
      <c r="D241" s="126"/>
      <c r="E241" s="127"/>
      <c r="F241" s="15"/>
      <c r="G241" s="15"/>
      <c r="H241" s="126"/>
      <c r="I241" s="126"/>
      <c r="J241" s="14"/>
      <c r="K241" s="14"/>
      <c r="L241" s="14"/>
      <c r="M241" s="14"/>
      <c r="N241" s="14"/>
      <c r="O241" s="6"/>
    </row>
    <row r="242" spans="1:15" ht="15.75">
      <c r="A242" s="122"/>
      <c r="B242" s="15"/>
      <c r="C242" s="126"/>
      <c r="D242" s="126"/>
      <c r="E242" s="127"/>
      <c r="F242" s="15"/>
      <c r="G242" s="15"/>
      <c r="H242" s="126"/>
      <c r="I242" s="126"/>
      <c r="J242" s="14"/>
      <c r="K242" s="14"/>
      <c r="L242" s="14"/>
      <c r="M242" s="14"/>
      <c r="N242" s="14"/>
      <c r="O242" s="6"/>
    </row>
    <row r="243" spans="1:15" ht="15.75">
      <c r="A243" s="122"/>
      <c r="B243" s="15" t="str">
        <f>B174</f>
        <v>PASF1 INVESTOR REPORT QUARTER ENDING OCTOBER 2002</v>
      </c>
      <c r="C243" s="126"/>
      <c r="D243" s="126"/>
      <c r="E243" s="127"/>
      <c r="F243" s="15"/>
      <c r="G243" s="15"/>
      <c r="H243" s="126"/>
      <c r="I243" s="126"/>
      <c r="J243" s="14"/>
      <c r="K243" s="14"/>
      <c r="L243" s="14"/>
      <c r="M243" s="14"/>
      <c r="N243" s="14"/>
      <c r="O243" s="6"/>
    </row>
    <row r="244" spans="1:14" ht="15">
      <c r="A244" s="130"/>
      <c r="B244" s="130"/>
      <c r="C244" s="130"/>
      <c r="D244" s="130"/>
      <c r="E244" s="130"/>
      <c r="F244" s="130"/>
      <c r="G244" s="130"/>
      <c r="H244" s="130"/>
      <c r="I244" s="130"/>
      <c r="J244" s="130"/>
      <c r="K244" s="130"/>
      <c r="L244" s="130"/>
      <c r="M244" s="130"/>
      <c r="N244" s="130"/>
    </row>
  </sheetData>
  <printOptions horizontalCentered="1" verticalCentered="1"/>
  <pageMargins left="0.2362204724409449" right="0.4330708661417323" top="0.2362204724409449" bottom="0.31496062992125984" header="0" footer="0"/>
  <pageSetup horizontalDpi="600" verticalDpi="600" orientation="landscape" paperSize="9" scale="48" r:id="rId2"/>
  <rowBreaks count="3" manualBreakCount="3">
    <brk id="53" max="14" man="1"/>
    <brk id="116" max="14" man="1"/>
    <brk id="174" max="14" man="1"/>
  </rowBreaks>
  <drawing r:id="rId1"/>
</worksheet>
</file>

<file path=xl/worksheets/sheet9.xml><?xml version="1.0" encoding="utf-8"?>
<worksheet xmlns="http://schemas.openxmlformats.org/spreadsheetml/2006/main" xmlns:r="http://schemas.openxmlformats.org/officeDocument/2006/relationships">
  <dimension ref="A1:V24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49.6640625" style="1" customWidth="1"/>
    <col min="3" max="3" width="12.6640625" style="1" customWidth="1"/>
    <col min="4" max="4" width="18.6640625" style="1" customWidth="1"/>
    <col min="5" max="5" width="14.6640625" style="1" customWidth="1"/>
    <col min="6" max="6" width="4.6640625" style="1" customWidth="1"/>
    <col min="7" max="7" width="14.6640625" style="1" customWidth="1"/>
    <col min="8" max="8" width="4.6640625" style="1" customWidth="1"/>
    <col min="9" max="9" width="19.6640625" style="1" customWidth="1"/>
    <col min="10" max="10" width="6.6640625" style="1" customWidth="1"/>
    <col min="11" max="11" width="11.6640625" style="1" customWidth="1"/>
    <col min="12" max="12" width="8.6640625" style="1" customWidth="1"/>
    <col min="13" max="13" width="14.6640625" style="1" customWidth="1"/>
    <col min="14" max="14" width="2.6640625" style="1" customWidth="1"/>
    <col min="15" max="16384" width="9.6640625" style="1" customWidth="1"/>
  </cols>
  <sheetData>
    <row r="1" spans="1:15" ht="20.25">
      <c r="A1" s="2"/>
      <c r="B1" s="3" t="s">
        <v>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44" t="s">
        <v>1</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2</v>
      </c>
      <c r="C5" s="13"/>
      <c r="D5" s="13"/>
      <c r="E5" s="9"/>
      <c r="F5" s="9"/>
      <c r="G5" s="9"/>
      <c r="H5" s="9"/>
      <c r="I5" s="9"/>
      <c r="J5" s="9"/>
      <c r="K5" s="9"/>
      <c r="L5" s="9"/>
      <c r="M5" s="9"/>
      <c r="N5" s="9"/>
      <c r="O5" s="6"/>
    </row>
    <row r="6" spans="1:15" ht="15.75">
      <c r="A6" s="7"/>
      <c r="B6" s="12" t="s">
        <v>3</v>
      </c>
      <c r="C6" s="13"/>
      <c r="D6" s="13"/>
      <c r="E6" s="9"/>
      <c r="F6" s="9"/>
      <c r="G6" s="9"/>
      <c r="H6" s="9"/>
      <c r="I6" s="9"/>
      <c r="J6" s="9"/>
      <c r="K6" s="9"/>
      <c r="L6" s="9"/>
      <c r="M6" s="9"/>
      <c r="N6" s="9"/>
      <c r="O6" s="6"/>
    </row>
    <row r="7" spans="1:15" ht="15.75">
      <c r="A7" s="7"/>
      <c r="B7" s="12" t="s">
        <v>4</v>
      </c>
      <c r="C7" s="13"/>
      <c r="D7" s="13"/>
      <c r="E7" s="9"/>
      <c r="F7" s="9"/>
      <c r="G7" s="9"/>
      <c r="H7" s="9"/>
      <c r="I7" s="9"/>
      <c r="J7" s="9"/>
      <c r="K7" s="9"/>
      <c r="L7" s="9"/>
      <c r="M7" s="9"/>
      <c r="N7" s="9"/>
      <c r="O7" s="6"/>
    </row>
    <row r="8" spans="1:15" ht="15.75">
      <c r="A8" s="7"/>
      <c r="B8" s="14"/>
      <c r="C8" s="13"/>
      <c r="D8" s="13"/>
      <c r="E8" s="9"/>
      <c r="F8" s="9"/>
      <c r="G8" s="9"/>
      <c r="H8" s="9"/>
      <c r="I8" s="9"/>
      <c r="J8" s="9"/>
      <c r="K8" s="9"/>
      <c r="L8" s="9"/>
      <c r="M8" s="9"/>
      <c r="N8" s="9"/>
      <c r="O8" s="6"/>
    </row>
    <row r="9" spans="1:15" ht="15.75">
      <c r="A9" s="7"/>
      <c r="B9" s="13"/>
      <c r="C9" s="13"/>
      <c r="D9" s="13"/>
      <c r="E9" s="15"/>
      <c r="F9" s="15"/>
      <c r="G9" s="9"/>
      <c r="H9" s="9"/>
      <c r="I9" s="9"/>
      <c r="J9" s="9"/>
      <c r="K9" s="9"/>
      <c r="L9" s="9"/>
      <c r="M9" s="9"/>
      <c r="N9" s="9"/>
      <c r="O9" s="6"/>
    </row>
    <row r="10" spans="1:15" ht="15.75">
      <c r="A10" s="7"/>
      <c r="B10" s="15" t="s">
        <v>5</v>
      </c>
      <c r="C10" s="15"/>
      <c r="D10" s="15"/>
      <c r="E10" s="9"/>
      <c r="F10" s="9"/>
      <c r="G10" s="9"/>
      <c r="H10" s="9"/>
      <c r="I10" s="9"/>
      <c r="J10" s="9"/>
      <c r="K10" s="9"/>
      <c r="L10" s="9"/>
      <c r="M10" s="9"/>
      <c r="N10" s="9"/>
      <c r="O10" s="6"/>
    </row>
    <row r="11" spans="1:15" ht="15.75">
      <c r="A11" s="7"/>
      <c r="B11" s="15"/>
      <c r="C11" s="15"/>
      <c r="D11" s="15"/>
      <c r="E11" s="9"/>
      <c r="F11" s="9"/>
      <c r="G11" s="9"/>
      <c r="H11" s="9"/>
      <c r="I11" s="9"/>
      <c r="J11" s="9"/>
      <c r="K11" s="9"/>
      <c r="L11" s="9"/>
      <c r="M11" s="9"/>
      <c r="N11" s="9"/>
      <c r="O11" s="6"/>
    </row>
    <row r="12" spans="1:15" ht="15.75">
      <c r="A12" s="2"/>
      <c r="B12" s="5"/>
      <c r="C12" s="5"/>
      <c r="D12" s="5"/>
      <c r="E12" s="5"/>
      <c r="F12" s="5"/>
      <c r="G12" s="5"/>
      <c r="H12" s="5"/>
      <c r="I12" s="5"/>
      <c r="J12" s="5"/>
      <c r="K12" s="5"/>
      <c r="L12" s="5"/>
      <c r="M12" s="5"/>
      <c r="N12" s="5"/>
      <c r="O12" s="6"/>
    </row>
    <row r="13" spans="1:15" ht="15.75">
      <c r="A13" s="7"/>
      <c r="B13" s="17" t="s">
        <v>6</v>
      </c>
      <c r="C13" s="17"/>
      <c r="D13" s="17"/>
      <c r="E13" s="18"/>
      <c r="F13" s="18"/>
      <c r="G13" s="18"/>
      <c r="H13" s="18"/>
      <c r="I13" s="18"/>
      <c r="J13" s="18"/>
      <c r="K13" s="18"/>
      <c r="L13" s="18"/>
      <c r="M13" s="19" t="s">
        <v>217</v>
      </c>
      <c r="N13" s="9"/>
      <c r="O13" s="6"/>
    </row>
    <row r="14" spans="1:15" ht="15.75">
      <c r="A14" s="7"/>
      <c r="B14" s="17" t="s">
        <v>7</v>
      </c>
      <c r="C14" s="17"/>
      <c r="D14" s="18"/>
      <c r="E14" s="18"/>
      <c r="F14" s="18"/>
      <c r="G14" s="18"/>
      <c r="H14" s="20" t="s">
        <v>197</v>
      </c>
      <c r="I14" s="21">
        <v>0.52</v>
      </c>
      <c r="J14" s="20" t="s">
        <v>207</v>
      </c>
      <c r="K14" s="21">
        <v>0.48</v>
      </c>
      <c r="L14" s="18"/>
      <c r="M14" s="19"/>
      <c r="N14" s="9"/>
      <c r="O14" s="6"/>
    </row>
    <row r="15" spans="1:15" ht="15.75">
      <c r="A15" s="7"/>
      <c r="B15" s="17" t="s">
        <v>8</v>
      </c>
      <c r="C15" s="17"/>
      <c r="D15" s="18"/>
      <c r="E15" s="18"/>
      <c r="F15" s="18"/>
      <c r="G15" s="18"/>
      <c r="H15" s="20" t="s">
        <v>197</v>
      </c>
      <c r="I15" s="21">
        <f>K233/K235</f>
        <v>0.5199101813960578</v>
      </c>
      <c r="J15" s="20" t="s">
        <v>207</v>
      </c>
      <c r="K15" s="21">
        <f>K226/K235</f>
        <v>0.4800898186039422</v>
      </c>
      <c r="L15" s="18"/>
      <c r="M15" s="19"/>
      <c r="N15" s="9"/>
      <c r="O15" s="6"/>
    </row>
    <row r="16" spans="1:15" ht="15.75">
      <c r="A16" s="7"/>
      <c r="B16" s="17" t="s">
        <v>9</v>
      </c>
      <c r="C16" s="17"/>
      <c r="D16" s="17"/>
      <c r="E16" s="18"/>
      <c r="F16" s="18"/>
      <c r="G16" s="18"/>
      <c r="H16" s="18"/>
      <c r="I16" s="18"/>
      <c r="J16" s="18"/>
      <c r="K16" s="18"/>
      <c r="L16" s="18"/>
      <c r="M16" s="20" t="s">
        <v>218</v>
      </c>
      <c r="N16" s="9"/>
      <c r="O16" s="6"/>
    </row>
    <row r="17" spans="1:15" ht="15.75">
      <c r="A17" s="7"/>
      <c r="B17" s="17" t="s">
        <v>10</v>
      </c>
      <c r="C17" s="17"/>
      <c r="D17" s="17"/>
      <c r="E17" s="18"/>
      <c r="F17" s="18"/>
      <c r="G17" s="18"/>
      <c r="H17" s="18"/>
      <c r="I17" s="18"/>
      <c r="J17" s="18"/>
      <c r="K17" s="18"/>
      <c r="L17" s="18"/>
      <c r="M17" s="22">
        <v>37676</v>
      </c>
      <c r="N17" s="9"/>
      <c r="O17" s="6"/>
    </row>
    <row r="18" spans="1:15" ht="15.75">
      <c r="A18" s="7"/>
      <c r="B18" s="9"/>
      <c r="C18" s="9"/>
      <c r="D18" s="9"/>
      <c r="E18" s="9"/>
      <c r="F18" s="9"/>
      <c r="G18" s="9"/>
      <c r="H18" s="9"/>
      <c r="I18" s="9"/>
      <c r="J18" s="9"/>
      <c r="K18" s="9"/>
      <c r="L18" s="9"/>
      <c r="M18" s="23"/>
      <c r="N18" s="9"/>
      <c r="O18" s="6"/>
    </row>
    <row r="19" spans="1:15" ht="15.75">
      <c r="A19" s="7"/>
      <c r="B19" s="24" t="s">
        <v>11</v>
      </c>
      <c r="C19" s="9"/>
      <c r="D19" s="9"/>
      <c r="E19" s="9"/>
      <c r="F19" s="9"/>
      <c r="G19" s="9"/>
      <c r="H19" s="9"/>
      <c r="I19" s="9"/>
      <c r="J19" s="9"/>
      <c r="K19" s="23"/>
      <c r="L19" s="9"/>
      <c r="M19" s="14"/>
      <c r="N19" s="9"/>
      <c r="O19" s="6"/>
    </row>
    <row r="20" spans="1:15" ht="15.75">
      <c r="A20" s="7"/>
      <c r="B20" s="9"/>
      <c r="C20" s="9"/>
      <c r="D20" s="9"/>
      <c r="E20" s="9"/>
      <c r="F20" s="9"/>
      <c r="G20" s="9"/>
      <c r="H20" s="9"/>
      <c r="I20" s="9"/>
      <c r="J20" s="9"/>
      <c r="K20" s="9"/>
      <c r="L20" s="9"/>
      <c r="M20" s="25"/>
      <c r="N20" s="9"/>
      <c r="O20" s="6"/>
    </row>
    <row r="21" spans="1:15" ht="31.5">
      <c r="A21" s="7"/>
      <c r="B21" s="9"/>
      <c r="C21" s="145" t="s">
        <v>165</v>
      </c>
      <c r="D21" s="168" t="s">
        <v>168</v>
      </c>
      <c r="E21" s="168" t="s">
        <v>179</v>
      </c>
      <c r="F21" s="168"/>
      <c r="G21" s="168" t="s">
        <v>185</v>
      </c>
      <c r="H21" s="168"/>
      <c r="I21" s="168" t="s">
        <v>198</v>
      </c>
      <c r="J21" s="26"/>
      <c r="K21" s="27"/>
      <c r="L21" s="14"/>
      <c r="M21" s="14"/>
      <c r="N21" s="9"/>
      <c r="O21" s="6"/>
    </row>
    <row r="22" spans="1:15" ht="15.75">
      <c r="A22" s="28"/>
      <c r="B22" s="29" t="s">
        <v>12</v>
      </c>
      <c r="C22" s="146" t="s">
        <v>166</v>
      </c>
      <c r="D22" s="30" t="s">
        <v>169</v>
      </c>
      <c r="E22" s="30"/>
      <c r="F22" s="30"/>
      <c r="G22" s="30" t="s">
        <v>186</v>
      </c>
      <c r="H22" s="30"/>
      <c r="I22" s="30" t="s">
        <v>199</v>
      </c>
      <c r="J22" s="30"/>
      <c r="K22" s="30"/>
      <c r="L22" s="31"/>
      <c r="M22" s="31"/>
      <c r="N22" s="29"/>
      <c r="O22" s="6"/>
    </row>
    <row r="23" spans="1:15" ht="15.75">
      <c r="A23" s="28"/>
      <c r="B23" s="29" t="s">
        <v>13</v>
      </c>
      <c r="C23" s="32"/>
      <c r="D23" s="33" t="s">
        <v>170</v>
      </c>
      <c r="E23" s="34"/>
      <c r="F23" s="33"/>
      <c r="G23" s="33" t="s">
        <v>187</v>
      </c>
      <c r="H23" s="33"/>
      <c r="I23" s="33" t="s">
        <v>200</v>
      </c>
      <c r="J23" s="35"/>
      <c r="K23" s="35"/>
      <c r="L23" s="36"/>
      <c r="M23" s="31"/>
      <c r="N23" s="29"/>
      <c r="O23" s="6"/>
    </row>
    <row r="24" spans="1:15" ht="15.75">
      <c r="A24" s="28"/>
      <c r="B24" s="32" t="s">
        <v>14</v>
      </c>
      <c r="C24" s="32"/>
      <c r="D24" s="35" t="s">
        <v>169</v>
      </c>
      <c r="E24" s="35"/>
      <c r="F24" s="35"/>
      <c r="G24" s="35" t="s">
        <v>186</v>
      </c>
      <c r="H24" s="35"/>
      <c r="I24" s="35" t="s">
        <v>199</v>
      </c>
      <c r="J24" s="35"/>
      <c r="K24" s="35"/>
      <c r="L24" s="36"/>
      <c r="M24" s="31"/>
      <c r="N24" s="29"/>
      <c r="O24" s="6"/>
    </row>
    <row r="25" spans="1:15" ht="15.75">
      <c r="A25" s="28"/>
      <c r="B25" s="32" t="s">
        <v>15</v>
      </c>
      <c r="C25" s="32"/>
      <c r="D25" s="35" t="s">
        <v>170</v>
      </c>
      <c r="E25" s="35"/>
      <c r="F25" s="35"/>
      <c r="G25" s="35" t="s">
        <v>187</v>
      </c>
      <c r="H25" s="35"/>
      <c r="I25" s="35" t="s">
        <v>200</v>
      </c>
      <c r="J25" s="35"/>
      <c r="K25" s="35"/>
      <c r="L25" s="36"/>
      <c r="M25" s="31"/>
      <c r="N25" s="29"/>
      <c r="O25" s="6"/>
    </row>
    <row r="26" spans="1:15" ht="15.75">
      <c r="A26" s="28"/>
      <c r="B26" s="29" t="s">
        <v>16</v>
      </c>
      <c r="C26" s="29"/>
      <c r="D26" s="37" t="s">
        <v>171</v>
      </c>
      <c r="E26" s="37"/>
      <c r="F26" s="30"/>
      <c r="G26" s="37" t="s">
        <v>188</v>
      </c>
      <c r="H26" s="30"/>
      <c r="I26" s="37" t="s">
        <v>201</v>
      </c>
      <c r="J26" s="30"/>
      <c r="K26" s="37"/>
      <c r="L26" s="31"/>
      <c r="M26" s="31"/>
      <c r="N26" s="29"/>
      <c r="O26" s="6"/>
    </row>
    <row r="27" spans="1:15" ht="15.75">
      <c r="A27" s="28"/>
      <c r="B27" s="29"/>
      <c r="C27" s="29"/>
      <c r="D27" s="29"/>
      <c r="E27" s="29"/>
      <c r="F27" s="30"/>
      <c r="G27" s="30"/>
      <c r="H27" s="30"/>
      <c r="I27" s="30"/>
      <c r="J27" s="30"/>
      <c r="K27" s="30"/>
      <c r="L27" s="31"/>
      <c r="M27" s="31"/>
      <c r="N27" s="29"/>
      <c r="O27" s="6"/>
    </row>
    <row r="28" spans="1:15" ht="15.75">
      <c r="A28" s="28"/>
      <c r="B28" s="29" t="s">
        <v>17</v>
      </c>
      <c r="C28" s="29"/>
      <c r="D28" s="38" t="s">
        <v>172</v>
      </c>
      <c r="E28" s="38">
        <v>168668</v>
      </c>
      <c r="F28" s="39"/>
      <c r="G28" s="38">
        <v>16580</v>
      </c>
      <c r="H28" s="38"/>
      <c r="I28" s="38">
        <v>9750</v>
      </c>
      <c r="J28" s="38"/>
      <c r="K28" s="38"/>
      <c r="L28" s="39" t="s">
        <v>172</v>
      </c>
      <c r="M28" s="38">
        <f>K28+I28+G28+E28</f>
        <v>194998</v>
      </c>
      <c r="N28" s="40"/>
      <c r="O28" s="6"/>
    </row>
    <row r="29" spans="1:15" ht="15.75">
      <c r="A29" s="28"/>
      <c r="B29" s="29" t="s">
        <v>18</v>
      </c>
      <c r="C29" s="41">
        <f>M28/M29</f>
        <v>1</v>
      </c>
      <c r="D29" s="38" t="s">
        <v>173</v>
      </c>
      <c r="E29" s="38">
        <v>168668</v>
      </c>
      <c r="F29" s="39"/>
      <c r="G29" s="38">
        <v>16580</v>
      </c>
      <c r="H29" s="38"/>
      <c r="I29" s="38">
        <v>9750</v>
      </c>
      <c r="J29" s="42"/>
      <c r="K29" s="38"/>
      <c r="L29" s="39" t="s">
        <v>172</v>
      </c>
      <c r="M29" s="38">
        <f>K29+I29+G29+E29</f>
        <v>194998</v>
      </c>
      <c r="N29" s="40"/>
      <c r="O29" s="6"/>
    </row>
    <row r="30" spans="1:15" ht="15.75">
      <c r="A30" s="43"/>
      <c r="B30" s="32" t="s">
        <v>19</v>
      </c>
      <c r="C30" s="44">
        <f>M29/M30</f>
        <v>1</v>
      </c>
      <c r="D30" s="45" t="s">
        <v>172</v>
      </c>
      <c r="E30" s="45">
        <v>168668</v>
      </c>
      <c r="F30" s="46"/>
      <c r="G30" s="45">
        <v>16580</v>
      </c>
      <c r="H30" s="45"/>
      <c r="I30" s="45">
        <v>9750</v>
      </c>
      <c r="J30" s="45"/>
      <c r="K30" s="45"/>
      <c r="L30" s="46" t="s">
        <v>172</v>
      </c>
      <c r="M30" s="45">
        <f>K30+I30+G30+E30</f>
        <v>194998</v>
      </c>
      <c r="N30" s="29"/>
      <c r="O30" s="6"/>
    </row>
    <row r="31" spans="1:15" ht="15.75">
      <c r="A31" s="28"/>
      <c r="B31" s="29" t="s">
        <v>20</v>
      </c>
      <c r="C31" s="47"/>
      <c r="D31" s="37" t="s">
        <v>174</v>
      </c>
      <c r="E31" s="37"/>
      <c r="F31" s="29"/>
      <c r="G31" s="37" t="s">
        <v>189</v>
      </c>
      <c r="H31" s="37"/>
      <c r="I31" s="37" t="s">
        <v>202</v>
      </c>
      <c r="J31" s="37"/>
      <c r="K31" s="37"/>
      <c r="L31" s="31"/>
      <c r="M31" s="31"/>
      <c r="N31" s="29"/>
      <c r="O31" s="6"/>
    </row>
    <row r="32" spans="1:15" ht="15.75">
      <c r="A32" s="28"/>
      <c r="B32" s="29" t="s">
        <v>21</v>
      </c>
      <c r="C32" s="47"/>
      <c r="D32" s="48" t="s">
        <v>175</v>
      </c>
      <c r="E32" s="49">
        <v>0.0436</v>
      </c>
      <c r="F32" s="50"/>
      <c r="G32" s="48">
        <v>0.0478742</v>
      </c>
      <c r="H32" s="48"/>
      <c r="I32" s="48">
        <v>0.0578742</v>
      </c>
      <c r="J32" s="51"/>
      <c r="K32" s="48"/>
      <c r="L32" s="31"/>
      <c r="M32" s="51">
        <f>SUMPRODUCT(E32:K32,E30:K30)/M30</f>
        <v>0.04467713764243736</v>
      </c>
      <c r="N32" s="29"/>
      <c r="O32" s="6"/>
    </row>
    <row r="33" spans="1:15" ht="15.75">
      <c r="A33" s="28"/>
      <c r="B33" s="29" t="s">
        <v>22</v>
      </c>
      <c r="C33" s="47"/>
      <c r="D33" s="48">
        <v>0.03483</v>
      </c>
      <c r="E33" s="48"/>
      <c r="F33" s="50"/>
      <c r="G33" s="48" t="s">
        <v>175</v>
      </c>
      <c r="H33" s="48"/>
      <c r="I33" s="48" t="s">
        <v>175</v>
      </c>
      <c r="J33" s="51"/>
      <c r="K33" s="48"/>
      <c r="L33" s="31"/>
      <c r="M33" s="51"/>
      <c r="N33" s="29"/>
      <c r="O33" s="6"/>
    </row>
    <row r="34" spans="1:15" ht="15.75">
      <c r="A34" s="28"/>
      <c r="B34" s="29" t="s">
        <v>23</v>
      </c>
      <c r="C34" s="47"/>
      <c r="D34" s="48" t="s">
        <v>175</v>
      </c>
      <c r="E34" s="48"/>
      <c r="F34" s="48"/>
      <c r="G34" s="48">
        <v>0.0478375</v>
      </c>
      <c r="H34" s="48"/>
      <c r="I34" s="48">
        <v>0.0578375</v>
      </c>
      <c r="J34" s="51"/>
      <c r="K34" s="48"/>
      <c r="L34" s="31"/>
      <c r="M34" s="31"/>
      <c r="N34" s="29"/>
      <c r="O34" s="6"/>
    </row>
    <row r="35" spans="1:15" ht="15.75">
      <c r="A35" s="28"/>
      <c r="B35" s="29" t="s">
        <v>24</v>
      </c>
      <c r="C35" s="47"/>
      <c r="D35" s="48">
        <v>0.0368</v>
      </c>
      <c r="E35" s="48"/>
      <c r="F35" s="50"/>
      <c r="G35" s="48" t="s">
        <v>175</v>
      </c>
      <c r="H35" s="48"/>
      <c r="I35" s="48" t="s">
        <v>175</v>
      </c>
      <c r="J35" s="51"/>
      <c r="K35" s="48"/>
      <c r="L35" s="31"/>
      <c r="M35" s="31"/>
      <c r="N35" s="29"/>
      <c r="O35" s="6"/>
    </row>
    <row r="36" spans="1:15" ht="15.75">
      <c r="A36" s="28"/>
      <c r="B36" s="29" t="s">
        <v>25</v>
      </c>
      <c r="C36" s="47"/>
      <c r="D36" s="37" t="s">
        <v>176</v>
      </c>
      <c r="E36" s="37"/>
      <c r="F36" s="29"/>
      <c r="G36" s="37" t="s">
        <v>176</v>
      </c>
      <c r="H36" s="37"/>
      <c r="I36" s="37" t="s">
        <v>176</v>
      </c>
      <c r="J36" s="37"/>
      <c r="K36" s="37"/>
      <c r="L36" s="31"/>
      <c r="M36" s="31"/>
      <c r="N36" s="29"/>
      <c r="O36" s="6"/>
    </row>
    <row r="37" spans="1:15" ht="15.75">
      <c r="A37" s="28"/>
      <c r="B37" s="29" t="s">
        <v>26</v>
      </c>
      <c r="C37" s="29"/>
      <c r="D37" s="52">
        <v>39036</v>
      </c>
      <c r="E37" s="52"/>
      <c r="F37" s="29"/>
      <c r="G37" s="52">
        <v>39036</v>
      </c>
      <c r="H37" s="52"/>
      <c r="I37" s="52">
        <v>39036</v>
      </c>
      <c r="J37" s="37"/>
      <c r="K37" s="37"/>
      <c r="L37" s="31"/>
      <c r="M37" s="31"/>
      <c r="N37" s="29"/>
      <c r="O37" s="6"/>
    </row>
    <row r="38" spans="1:15" ht="15.75">
      <c r="A38" s="28"/>
      <c r="B38" s="29" t="s">
        <v>27</v>
      </c>
      <c r="C38" s="29"/>
      <c r="D38" s="37" t="s">
        <v>177</v>
      </c>
      <c r="E38" s="37"/>
      <c r="F38" s="29"/>
      <c r="G38" s="37" t="s">
        <v>190</v>
      </c>
      <c r="H38" s="37"/>
      <c r="I38" s="37" t="s">
        <v>203</v>
      </c>
      <c r="J38" s="37"/>
      <c r="K38" s="37"/>
      <c r="L38" s="31"/>
      <c r="M38" s="31"/>
      <c r="N38" s="29"/>
      <c r="O38" s="6"/>
    </row>
    <row r="39" spans="1:15" ht="15.75">
      <c r="A39" s="28"/>
      <c r="B39" s="29"/>
      <c r="C39" s="29"/>
      <c r="D39" s="29"/>
      <c r="E39" s="53"/>
      <c r="F39" s="53"/>
      <c r="G39" s="29"/>
      <c r="H39" s="53"/>
      <c r="I39" s="53"/>
      <c r="J39" s="53"/>
      <c r="K39" s="53"/>
      <c r="L39" s="53"/>
      <c r="M39" s="53"/>
      <c r="N39" s="29"/>
      <c r="O39" s="6"/>
    </row>
    <row r="40" spans="1:15" ht="15.75">
      <c r="A40" s="28"/>
      <c r="B40" s="29" t="s">
        <v>28</v>
      </c>
      <c r="C40" s="29"/>
      <c r="D40" s="29"/>
      <c r="E40" s="29"/>
      <c r="F40" s="29"/>
      <c r="G40" s="29"/>
      <c r="H40" s="29"/>
      <c r="I40" s="50"/>
      <c r="J40" s="29"/>
      <c r="K40" s="29"/>
      <c r="L40" s="29"/>
      <c r="M40" s="51">
        <f>(I28+G28)/(E28)</f>
        <v>0.15610548533213175</v>
      </c>
      <c r="N40" s="29"/>
      <c r="O40" s="6"/>
    </row>
    <row r="41" spans="1:15" ht="15.75">
      <c r="A41" s="28"/>
      <c r="B41" s="29" t="s">
        <v>29</v>
      </c>
      <c r="C41" s="29"/>
      <c r="D41" s="29"/>
      <c r="E41" s="29"/>
      <c r="F41" s="29"/>
      <c r="G41" s="29"/>
      <c r="H41" s="29"/>
      <c r="I41" s="50"/>
      <c r="J41" s="29"/>
      <c r="K41" s="29"/>
      <c r="L41" s="29"/>
      <c r="M41" s="51">
        <f>(I30+G30)/(E30)</f>
        <v>0.15610548533213175</v>
      </c>
      <c r="N41" s="29"/>
      <c r="O41" s="6"/>
    </row>
    <row r="42" spans="1:15" ht="15.75">
      <c r="A42" s="28"/>
      <c r="B42" s="29" t="s">
        <v>30</v>
      </c>
      <c r="C42" s="29"/>
      <c r="D42" s="29"/>
      <c r="E42" s="29"/>
      <c r="F42" s="29"/>
      <c r="G42" s="29"/>
      <c r="H42" s="29"/>
      <c r="I42" s="29"/>
      <c r="J42" s="29"/>
      <c r="K42" s="37" t="s">
        <v>168</v>
      </c>
      <c r="L42" s="37" t="s">
        <v>216</v>
      </c>
      <c r="M42" s="38">
        <v>60336</v>
      </c>
      <c r="N42" s="29"/>
      <c r="O42" s="6"/>
    </row>
    <row r="43" spans="1:15" ht="15.75">
      <c r="A43" s="28"/>
      <c r="B43" s="29"/>
      <c r="C43" s="29"/>
      <c r="D43" s="29"/>
      <c r="E43" s="29"/>
      <c r="F43" s="29"/>
      <c r="G43" s="29"/>
      <c r="H43" s="29"/>
      <c r="I43" s="29"/>
      <c r="J43" s="29"/>
      <c r="K43" s="29"/>
      <c r="L43" s="29"/>
      <c r="M43" s="54"/>
      <c r="N43" s="29"/>
      <c r="O43" s="6"/>
    </row>
    <row r="44" spans="1:15" ht="15.75">
      <c r="A44" s="28"/>
      <c r="B44" s="29" t="s">
        <v>31</v>
      </c>
      <c r="C44" s="29"/>
      <c r="D44" s="29"/>
      <c r="E44" s="29"/>
      <c r="F44" s="29"/>
      <c r="G44" s="29"/>
      <c r="H44" s="29"/>
      <c r="I44" s="29"/>
      <c r="J44" s="29"/>
      <c r="K44" s="37"/>
      <c r="L44" s="37"/>
      <c r="M44" s="37" t="s">
        <v>219</v>
      </c>
      <c r="N44" s="29"/>
      <c r="O44" s="6"/>
    </row>
    <row r="45" spans="1:15" ht="15.75">
      <c r="A45" s="43"/>
      <c r="B45" s="32" t="s">
        <v>32</v>
      </c>
      <c r="C45" s="32"/>
      <c r="D45" s="32"/>
      <c r="E45" s="32"/>
      <c r="F45" s="32"/>
      <c r="G45" s="32"/>
      <c r="H45" s="32"/>
      <c r="I45" s="32"/>
      <c r="J45" s="32"/>
      <c r="K45" s="55"/>
      <c r="L45" s="55"/>
      <c r="M45" s="56">
        <v>37669</v>
      </c>
      <c r="N45" s="32"/>
      <c r="O45" s="6"/>
    </row>
    <row r="46" spans="1:15" ht="15.75">
      <c r="A46" s="28"/>
      <c r="B46" s="29" t="s">
        <v>33</v>
      </c>
      <c r="C46" s="29"/>
      <c r="D46" s="29"/>
      <c r="E46" s="29"/>
      <c r="F46" s="29"/>
      <c r="G46" s="29"/>
      <c r="H46" s="29"/>
      <c r="I46" s="31"/>
      <c r="J46" s="29">
        <f>M46-K46+1</f>
        <v>92</v>
      </c>
      <c r="K46" s="58">
        <v>37483</v>
      </c>
      <c r="L46" s="59"/>
      <c r="M46" s="58">
        <v>37574</v>
      </c>
      <c r="N46" s="29"/>
      <c r="O46" s="6"/>
    </row>
    <row r="47" spans="1:15" ht="15.75">
      <c r="A47" s="28"/>
      <c r="B47" s="29" t="s">
        <v>34</v>
      </c>
      <c r="C47" s="29"/>
      <c r="D47" s="29"/>
      <c r="E47" s="29"/>
      <c r="F47" s="29"/>
      <c r="G47" s="29"/>
      <c r="H47" s="29"/>
      <c r="I47" s="31"/>
      <c r="J47" s="29">
        <f>M47-K47+1</f>
        <v>94</v>
      </c>
      <c r="K47" s="58">
        <v>37575</v>
      </c>
      <c r="L47" s="59"/>
      <c r="M47" s="58">
        <v>37668</v>
      </c>
      <c r="N47" s="29"/>
      <c r="O47" s="6"/>
    </row>
    <row r="48" spans="1:15" ht="15.75">
      <c r="A48" s="28"/>
      <c r="B48" s="29" t="s">
        <v>35</v>
      </c>
      <c r="C48" s="29"/>
      <c r="D48" s="29"/>
      <c r="E48" s="29"/>
      <c r="F48" s="29"/>
      <c r="G48" s="29"/>
      <c r="H48" s="29"/>
      <c r="I48" s="29"/>
      <c r="J48" s="29"/>
      <c r="K48" s="58"/>
      <c r="L48" s="59"/>
      <c r="M48" s="58" t="s">
        <v>220</v>
      </c>
      <c r="N48" s="29"/>
      <c r="O48" s="6"/>
    </row>
    <row r="49" spans="1:15" ht="15.75">
      <c r="A49" s="28"/>
      <c r="B49" s="29" t="s">
        <v>36</v>
      </c>
      <c r="C49" s="29"/>
      <c r="D49" s="29"/>
      <c r="E49" s="29"/>
      <c r="F49" s="29"/>
      <c r="G49" s="29"/>
      <c r="H49" s="29"/>
      <c r="I49" s="29"/>
      <c r="J49" s="29"/>
      <c r="K49" s="58"/>
      <c r="L49" s="59"/>
      <c r="M49" s="58" t="s">
        <v>221</v>
      </c>
      <c r="N49" s="29"/>
      <c r="O49" s="6"/>
    </row>
    <row r="50" spans="1:15" ht="15.75">
      <c r="A50" s="28"/>
      <c r="B50" s="29" t="s">
        <v>37</v>
      </c>
      <c r="C50" s="29"/>
      <c r="D50" s="29"/>
      <c r="E50" s="29"/>
      <c r="F50" s="29"/>
      <c r="G50" s="29"/>
      <c r="H50" s="29"/>
      <c r="I50" s="29"/>
      <c r="J50" s="29"/>
      <c r="K50" s="58"/>
      <c r="L50" s="59"/>
      <c r="M50" s="58">
        <v>37656</v>
      </c>
      <c r="N50" s="29"/>
      <c r="O50" s="6"/>
    </row>
    <row r="51" spans="1:15" ht="15.75">
      <c r="A51" s="28"/>
      <c r="B51" s="29"/>
      <c r="C51" s="29"/>
      <c r="D51" s="29"/>
      <c r="E51" s="29"/>
      <c r="F51" s="29"/>
      <c r="G51" s="29"/>
      <c r="H51" s="29"/>
      <c r="I51" s="29"/>
      <c r="J51" s="29"/>
      <c r="K51" s="29"/>
      <c r="L51" s="29"/>
      <c r="M51" s="60"/>
      <c r="N51" s="29"/>
      <c r="O51" s="6"/>
    </row>
    <row r="52" spans="1:15" ht="15.75">
      <c r="A52" s="7"/>
      <c r="B52" s="9"/>
      <c r="C52" s="9"/>
      <c r="D52" s="9"/>
      <c r="E52" s="9"/>
      <c r="F52" s="9"/>
      <c r="G52" s="9"/>
      <c r="H52" s="9"/>
      <c r="I52" s="9"/>
      <c r="J52" s="9"/>
      <c r="K52" s="9"/>
      <c r="L52" s="9"/>
      <c r="M52" s="61"/>
      <c r="N52" s="9"/>
      <c r="O52" s="6"/>
    </row>
    <row r="53" spans="1:15" ht="16.5" thickBot="1">
      <c r="A53" s="134"/>
      <c r="B53" s="135" t="s">
        <v>238</v>
      </c>
      <c r="C53" s="136"/>
      <c r="D53" s="136"/>
      <c r="E53" s="136"/>
      <c r="F53" s="136"/>
      <c r="G53" s="136"/>
      <c r="H53" s="136"/>
      <c r="I53" s="136"/>
      <c r="J53" s="136"/>
      <c r="K53" s="136"/>
      <c r="L53" s="136"/>
      <c r="M53" s="137"/>
      <c r="N53" s="138"/>
      <c r="O53" s="6"/>
    </row>
    <row r="54" spans="1:15" ht="15.75">
      <c r="A54" s="2"/>
      <c r="B54" s="5"/>
      <c r="C54" s="5"/>
      <c r="D54" s="5"/>
      <c r="E54" s="5"/>
      <c r="F54" s="5"/>
      <c r="G54" s="5"/>
      <c r="H54" s="5"/>
      <c r="I54" s="5"/>
      <c r="J54" s="5"/>
      <c r="K54" s="5"/>
      <c r="L54" s="5"/>
      <c r="M54" s="62"/>
      <c r="N54" s="5"/>
      <c r="O54" s="6"/>
    </row>
    <row r="55" spans="1:15" ht="15.75">
      <c r="A55" s="7"/>
      <c r="B55" s="63" t="s">
        <v>39</v>
      </c>
      <c r="C55" s="15"/>
      <c r="D55" s="15"/>
      <c r="E55" s="9"/>
      <c r="F55" s="9"/>
      <c r="G55" s="9"/>
      <c r="H55" s="9"/>
      <c r="I55" s="9"/>
      <c r="J55" s="9"/>
      <c r="K55" s="9"/>
      <c r="L55" s="9"/>
      <c r="M55" s="64"/>
      <c r="N55" s="9"/>
      <c r="O55" s="6"/>
    </row>
    <row r="56" spans="1:15" ht="15.75">
      <c r="A56" s="7"/>
      <c r="B56" s="15"/>
      <c r="C56" s="15"/>
      <c r="D56" s="15"/>
      <c r="E56" s="9"/>
      <c r="F56" s="9"/>
      <c r="G56" s="9"/>
      <c r="H56" s="9"/>
      <c r="I56" s="9"/>
      <c r="J56" s="9"/>
      <c r="K56" s="9"/>
      <c r="L56" s="9"/>
      <c r="M56" s="64"/>
      <c r="N56" s="9"/>
      <c r="O56" s="6"/>
    </row>
    <row r="57" spans="1:15" ht="47.25">
      <c r="A57" s="7"/>
      <c r="B57" s="170" t="s">
        <v>40</v>
      </c>
      <c r="C57" s="171" t="s">
        <v>167</v>
      </c>
      <c r="D57" s="171"/>
      <c r="E57" s="171" t="s">
        <v>180</v>
      </c>
      <c r="F57" s="171"/>
      <c r="G57" s="171" t="s">
        <v>191</v>
      </c>
      <c r="H57" s="171"/>
      <c r="I57" s="171" t="s">
        <v>204</v>
      </c>
      <c r="J57" s="171"/>
      <c r="K57" s="171" t="s">
        <v>209</v>
      </c>
      <c r="L57" s="171"/>
      <c r="M57" s="172" t="s">
        <v>222</v>
      </c>
      <c r="N57" s="144"/>
      <c r="O57" s="6"/>
    </row>
    <row r="58" spans="1:15" ht="15.75">
      <c r="A58" s="28"/>
      <c r="B58" s="29" t="s">
        <v>41</v>
      </c>
      <c r="C58" s="65">
        <v>73021</v>
      </c>
      <c r="D58" s="65"/>
      <c r="E58" s="65">
        <v>76147</v>
      </c>
      <c r="F58" s="65"/>
      <c r="G58" s="65">
        <f>12390+14</f>
        <v>12404</v>
      </c>
      <c r="H58" s="65"/>
      <c r="I58" s="65">
        <v>18144</v>
      </c>
      <c r="J58" s="65"/>
      <c r="K58" s="65">
        <v>0</v>
      </c>
      <c r="L58" s="65"/>
      <c r="M58" s="66">
        <f>E58-G58+I58-K58</f>
        <v>81887</v>
      </c>
      <c r="N58" s="29"/>
      <c r="O58" s="6"/>
    </row>
    <row r="59" spans="1:15" ht="15.75">
      <c r="A59" s="28"/>
      <c r="B59" s="29" t="s">
        <v>42</v>
      </c>
      <c r="C59" s="65">
        <v>506</v>
      </c>
      <c r="D59" s="65"/>
      <c r="E59" s="65">
        <v>0</v>
      </c>
      <c r="F59" s="65"/>
      <c r="G59" s="65">
        <v>80</v>
      </c>
      <c r="H59" s="65"/>
      <c r="I59" s="65">
        <v>80</v>
      </c>
      <c r="J59" s="65"/>
      <c r="K59" s="65">
        <v>0</v>
      </c>
      <c r="L59" s="65"/>
      <c r="M59" s="66">
        <f>E59-G59+I59-K59</f>
        <v>0</v>
      </c>
      <c r="N59" s="29"/>
      <c r="O59" s="6"/>
    </row>
    <row r="60" spans="1:15" ht="15.75">
      <c r="A60" s="28"/>
      <c r="B60" s="29"/>
      <c r="C60" s="65"/>
      <c r="D60" s="65"/>
      <c r="E60" s="65"/>
      <c r="F60" s="65"/>
      <c r="G60" s="65"/>
      <c r="H60" s="65"/>
      <c r="I60" s="65"/>
      <c r="J60" s="65"/>
      <c r="K60" s="65"/>
      <c r="L60" s="65"/>
      <c r="M60" s="66"/>
      <c r="N60" s="29"/>
      <c r="O60" s="6"/>
    </row>
    <row r="61" spans="1:15" ht="15.75">
      <c r="A61" s="28"/>
      <c r="B61" s="29" t="s">
        <v>43</v>
      </c>
      <c r="C61" s="65">
        <f>SUM(C58:C60)</f>
        <v>73527</v>
      </c>
      <c r="D61" s="65"/>
      <c r="E61" s="65">
        <f>SUM(E58:E60)</f>
        <v>76147</v>
      </c>
      <c r="F61" s="65"/>
      <c r="G61" s="65">
        <f>SUM(G58:G60)</f>
        <v>12484</v>
      </c>
      <c r="H61" s="65"/>
      <c r="I61" s="65">
        <f>SUM(I58:I60)</f>
        <v>18224</v>
      </c>
      <c r="J61" s="65"/>
      <c r="K61" s="65">
        <f>SUM(K58:K60)</f>
        <v>0</v>
      </c>
      <c r="L61" s="65"/>
      <c r="M61" s="67">
        <f>SUM(M58:M60)</f>
        <v>81887</v>
      </c>
      <c r="N61" s="29"/>
      <c r="O61" s="6"/>
    </row>
    <row r="62" spans="1:15" ht="15.75">
      <c r="A62" s="28"/>
      <c r="B62" s="29"/>
      <c r="C62" s="65"/>
      <c r="D62" s="65"/>
      <c r="E62" s="65"/>
      <c r="F62" s="65"/>
      <c r="G62" s="65"/>
      <c r="H62" s="65"/>
      <c r="I62" s="65"/>
      <c r="J62" s="65"/>
      <c r="K62" s="65"/>
      <c r="L62" s="65"/>
      <c r="M62" s="67"/>
      <c r="N62" s="29"/>
      <c r="O62" s="6"/>
    </row>
    <row r="63" spans="1:15" ht="15.75">
      <c r="A63" s="7"/>
      <c r="B63" s="144" t="s">
        <v>44</v>
      </c>
      <c r="C63" s="68"/>
      <c r="D63" s="68"/>
      <c r="E63" s="68"/>
      <c r="F63" s="68"/>
      <c r="G63" s="69"/>
      <c r="H63" s="68"/>
      <c r="I63" s="68"/>
      <c r="J63" s="68"/>
      <c r="K63" s="68"/>
      <c r="L63" s="68"/>
      <c r="M63" s="70"/>
      <c r="N63" s="9"/>
      <c r="O63" s="6"/>
    </row>
    <row r="64" spans="1:15" ht="15.75">
      <c r="A64" s="7"/>
      <c r="B64" s="9"/>
      <c r="C64" s="68"/>
      <c r="D64" s="68"/>
      <c r="E64" s="68"/>
      <c r="F64" s="68"/>
      <c r="G64" s="68"/>
      <c r="H64" s="68"/>
      <c r="I64" s="68"/>
      <c r="J64" s="68"/>
      <c r="K64" s="68"/>
      <c r="L64" s="68"/>
      <c r="M64" s="70"/>
      <c r="N64" s="9"/>
      <c r="O64" s="6"/>
    </row>
    <row r="65" spans="1:15" ht="15.75">
      <c r="A65" s="28"/>
      <c r="B65" s="29" t="s">
        <v>41</v>
      </c>
      <c r="C65" s="65">
        <v>79997</v>
      </c>
      <c r="D65" s="65"/>
      <c r="E65" s="66">
        <v>92876</v>
      </c>
      <c r="F65" s="65"/>
      <c r="G65" s="65">
        <f>13842+720</f>
        <v>14562</v>
      </c>
      <c r="H65" s="65"/>
      <c r="I65" s="65">
        <v>10365</v>
      </c>
      <c r="J65" s="65"/>
      <c r="K65" s="65"/>
      <c r="L65" s="65"/>
      <c r="M65" s="66">
        <f>E65-G65+I65-K65</f>
        <v>88679</v>
      </c>
      <c r="N65" s="29"/>
      <c r="O65" s="6"/>
    </row>
    <row r="66" spans="1:15" ht="15.75">
      <c r="A66" s="28"/>
      <c r="B66" s="29" t="s">
        <v>42</v>
      </c>
      <c r="C66" s="65">
        <v>611</v>
      </c>
      <c r="D66" s="65"/>
      <c r="E66" s="66">
        <v>0</v>
      </c>
      <c r="F66" s="65"/>
      <c r="G66" s="65">
        <v>62</v>
      </c>
      <c r="H66" s="65"/>
      <c r="I66" s="65">
        <v>62</v>
      </c>
      <c r="J66" s="65"/>
      <c r="K66" s="65"/>
      <c r="L66" s="65"/>
      <c r="M66" s="66">
        <f>E66-G66+I66-K66</f>
        <v>0</v>
      </c>
      <c r="N66" s="29"/>
      <c r="O66" s="6"/>
    </row>
    <row r="67" spans="1:15" ht="15.75">
      <c r="A67" s="28"/>
      <c r="B67" s="65"/>
      <c r="C67" s="65"/>
      <c r="D67" s="65"/>
      <c r="E67" s="66"/>
      <c r="F67" s="65"/>
      <c r="G67" s="65"/>
      <c r="H67" s="65"/>
      <c r="I67" s="65"/>
      <c r="J67" s="65"/>
      <c r="K67" s="65"/>
      <c r="L67" s="65"/>
      <c r="M67" s="66"/>
      <c r="N67" s="29"/>
      <c r="O67" s="6"/>
    </row>
    <row r="68" spans="1:15" ht="15.75">
      <c r="A68" s="28"/>
      <c r="B68" s="29" t="s">
        <v>43</v>
      </c>
      <c r="C68" s="65">
        <f>SUM(C65:C67)</f>
        <v>80608</v>
      </c>
      <c r="D68" s="65"/>
      <c r="E68" s="65">
        <f>E65</f>
        <v>92876</v>
      </c>
      <c r="F68" s="65"/>
      <c r="G68" s="65">
        <f>SUM(G65:G67)</f>
        <v>14624</v>
      </c>
      <c r="H68" s="65"/>
      <c r="I68" s="65">
        <f>SUM(I65:I67)</f>
        <v>10427</v>
      </c>
      <c r="J68" s="65"/>
      <c r="K68" s="65">
        <f>SUM(K65:K67)</f>
        <v>0</v>
      </c>
      <c r="L68" s="65"/>
      <c r="M68" s="65">
        <f>SUM(M65:M67)</f>
        <v>88679</v>
      </c>
      <c r="N68" s="29"/>
      <c r="O68" s="6"/>
    </row>
    <row r="69" spans="1:15" ht="15.75">
      <c r="A69" s="28"/>
      <c r="B69" s="29"/>
      <c r="C69" s="65"/>
      <c r="D69" s="65"/>
      <c r="E69" s="67"/>
      <c r="F69" s="65"/>
      <c r="G69" s="65"/>
      <c r="H69" s="65"/>
      <c r="I69" s="65"/>
      <c r="J69" s="65"/>
      <c r="K69" s="65"/>
      <c r="L69" s="65"/>
      <c r="M69" s="67"/>
      <c r="N69" s="29"/>
      <c r="O69" s="6"/>
    </row>
    <row r="70" spans="1:15" ht="15.75">
      <c r="A70" s="28"/>
      <c r="B70" s="29" t="s">
        <v>45</v>
      </c>
      <c r="C70" s="65">
        <v>0</v>
      </c>
      <c r="D70" s="65"/>
      <c r="E70" s="65">
        <v>0</v>
      </c>
      <c r="F70" s="65"/>
      <c r="G70" s="65"/>
      <c r="H70" s="65"/>
      <c r="I70" s="65"/>
      <c r="J70" s="65"/>
      <c r="K70" s="65"/>
      <c r="L70" s="65"/>
      <c r="M70" s="65">
        <f>E70+G70</f>
        <v>0</v>
      </c>
      <c r="N70" s="29"/>
      <c r="O70" s="6"/>
    </row>
    <row r="71" spans="1:15" ht="15.75">
      <c r="A71" s="28"/>
      <c r="B71" s="29" t="s">
        <v>46</v>
      </c>
      <c r="C71" s="65">
        <v>0</v>
      </c>
      <c r="D71" s="65"/>
      <c r="E71" s="67">
        <v>2926</v>
      </c>
      <c r="F71" s="65"/>
      <c r="G71" s="65"/>
      <c r="H71" s="65"/>
      <c r="I71" s="65">
        <v>0</v>
      </c>
      <c r="J71" s="65"/>
      <c r="K71" s="65"/>
      <c r="L71" s="65"/>
      <c r="M71" s="67">
        <f>E71+I71</f>
        <v>2926</v>
      </c>
      <c r="N71" s="29"/>
      <c r="O71" s="6"/>
    </row>
    <row r="72" spans="1:18" ht="15.75">
      <c r="A72" s="28"/>
      <c r="B72" s="29" t="s">
        <v>47</v>
      </c>
      <c r="C72" s="65">
        <v>40958</v>
      </c>
      <c r="D72" s="65"/>
      <c r="E72" s="67">
        <v>22583</v>
      </c>
      <c r="F72" s="65"/>
      <c r="G72" s="65">
        <f>G68+G61</f>
        <v>27108</v>
      </c>
      <c r="H72" s="65"/>
      <c r="I72" s="65">
        <f>-I68-I61</f>
        <v>-28651</v>
      </c>
      <c r="J72" s="65"/>
      <c r="K72" s="65"/>
      <c r="L72" s="65"/>
      <c r="M72" s="67">
        <f>E72+G88+I72</f>
        <v>20306</v>
      </c>
      <c r="N72" s="29"/>
      <c r="O72" s="6"/>
      <c r="P72" s="131"/>
      <c r="R72" s="132"/>
    </row>
    <row r="73" spans="1:16" ht="15.75">
      <c r="A73" s="28"/>
      <c r="B73" s="29" t="s">
        <v>48</v>
      </c>
      <c r="C73" s="65">
        <v>0</v>
      </c>
      <c r="D73" s="65"/>
      <c r="E73" s="67">
        <v>3487</v>
      </c>
      <c r="F73" s="65"/>
      <c r="G73" s="65"/>
      <c r="H73" s="65"/>
      <c r="I73" s="65">
        <v>-734</v>
      </c>
      <c r="J73" s="65"/>
      <c r="K73" s="65"/>
      <c r="L73" s="65"/>
      <c r="M73" s="67">
        <f>-I73+E73</f>
        <v>4221</v>
      </c>
      <c r="N73" s="29"/>
      <c r="O73" s="6"/>
      <c r="P73" s="132"/>
    </row>
    <row r="74" spans="1:22" ht="15.75">
      <c r="A74" s="28"/>
      <c r="B74" s="29" t="s">
        <v>49</v>
      </c>
      <c r="C74" s="65">
        <v>-95</v>
      </c>
      <c r="D74" s="65"/>
      <c r="E74" s="67">
        <v>-95</v>
      </c>
      <c r="F74" s="65"/>
      <c r="G74" s="65">
        <v>0</v>
      </c>
      <c r="H74" s="65"/>
      <c r="I74" s="65"/>
      <c r="J74" s="65"/>
      <c r="K74" s="65"/>
      <c r="L74" s="65"/>
      <c r="M74" s="67">
        <f>E74+G74</f>
        <v>-95</v>
      </c>
      <c r="N74" s="29"/>
      <c r="O74" s="6"/>
      <c r="P74" s="131"/>
      <c r="R74" s="131"/>
      <c r="T74" s="131"/>
      <c r="V74" s="1">
        <v>27315</v>
      </c>
    </row>
    <row r="75" spans="1:16" ht="15.75">
      <c r="A75" s="28"/>
      <c r="B75" s="29" t="s">
        <v>50</v>
      </c>
      <c r="C75" s="65">
        <v>0</v>
      </c>
      <c r="D75" s="65"/>
      <c r="E75" s="67">
        <v>0</v>
      </c>
      <c r="F75" s="65"/>
      <c r="G75" s="65"/>
      <c r="H75" s="65"/>
      <c r="I75" s="71"/>
      <c r="J75" s="65"/>
      <c r="K75" s="65"/>
      <c r="L75" s="65"/>
      <c r="M75" s="67">
        <v>0</v>
      </c>
      <c r="N75" s="29"/>
      <c r="O75" s="6"/>
      <c r="P75" s="132"/>
    </row>
    <row r="76" spans="1:20" ht="15.75">
      <c r="A76" s="28"/>
      <c r="B76" s="29" t="s">
        <v>19</v>
      </c>
      <c r="C76" s="67">
        <f>SUM(C68:C74)+C61</f>
        <v>194998</v>
      </c>
      <c r="D76" s="67"/>
      <c r="E76" s="67">
        <f>SUM(E68:E75)+E61</f>
        <v>197924</v>
      </c>
      <c r="F76" s="65"/>
      <c r="G76" s="65">
        <f>G72-G74</f>
        <v>27108</v>
      </c>
      <c r="H76" s="65"/>
      <c r="I76" s="65"/>
      <c r="J76" s="65"/>
      <c r="K76" s="65"/>
      <c r="L76" s="65"/>
      <c r="M76" s="67">
        <f>SUM(M68:M75)+M61</f>
        <v>197924</v>
      </c>
      <c r="N76" s="29"/>
      <c r="O76" s="6"/>
      <c r="P76" s="132"/>
      <c r="R76" s="131"/>
      <c r="T76" s="131"/>
    </row>
    <row r="77" spans="1:16" ht="15.75">
      <c r="A77" s="28"/>
      <c r="B77" s="65"/>
      <c r="C77" s="65"/>
      <c r="D77" s="65"/>
      <c r="E77" s="65"/>
      <c r="F77" s="65"/>
      <c r="G77" s="65"/>
      <c r="H77" s="65"/>
      <c r="I77" s="65"/>
      <c r="J77" s="65"/>
      <c r="K77" s="65"/>
      <c r="L77" s="65"/>
      <c r="M77" s="65"/>
      <c r="N77" s="29"/>
      <c r="O77" s="6"/>
      <c r="P77" s="132"/>
    </row>
    <row r="78" spans="1:16" ht="15.75">
      <c r="A78" s="7"/>
      <c r="B78" s="68"/>
      <c r="C78" s="9"/>
      <c r="D78" s="9"/>
      <c r="E78" s="9"/>
      <c r="F78" s="9"/>
      <c r="G78" s="20" t="s">
        <v>192</v>
      </c>
      <c r="H78" s="9"/>
      <c r="I78" s="9"/>
      <c r="J78" s="9"/>
      <c r="K78" s="23"/>
      <c r="L78" s="9"/>
      <c r="M78" s="20" t="s">
        <v>192</v>
      </c>
      <c r="N78" s="9"/>
      <c r="O78" s="6"/>
      <c r="P78" s="132"/>
    </row>
    <row r="79" spans="1:19" ht="15.75">
      <c r="A79" s="7"/>
      <c r="B79" s="63" t="s">
        <v>51</v>
      </c>
      <c r="C79" s="17"/>
      <c r="D79" s="17" t="s">
        <v>178</v>
      </c>
      <c r="E79" s="17" t="s">
        <v>181</v>
      </c>
      <c r="F79" s="17"/>
      <c r="G79" s="20" t="s">
        <v>193</v>
      </c>
      <c r="H79" s="17"/>
      <c r="I79" s="17" t="s">
        <v>178</v>
      </c>
      <c r="J79" s="20"/>
      <c r="K79" s="20" t="s">
        <v>181</v>
      </c>
      <c r="L79" s="20"/>
      <c r="M79" s="20" t="s">
        <v>223</v>
      </c>
      <c r="N79" s="17"/>
      <c r="O79" s="6"/>
      <c r="P79" s="131"/>
      <c r="R79" s="132"/>
      <c r="S79" s="131"/>
    </row>
    <row r="80" spans="1:15" ht="15.75">
      <c r="A80" s="28"/>
      <c r="B80" s="29" t="s">
        <v>52</v>
      </c>
      <c r="C80" s="29"/>
      <c r="D80" s="29">
        <v>0</v>
      </c>
      <c r="E80" s="29">
        <v>0</v>
      </c>
      <c r="F80" s="29"/>
      <c r="G80" s="65">
        <f>SUM(C80:E80)</f>
        <v>0</v>
      </c>
      <c r="H80" s="29"/>
      <c r="I80" s="29">
        <v>0</v>
      </c>
      <c r="J80" s="29"/>
      <c r="K80" s="65">
        <f>SUM(G80:I80)</f>
        <v>0</v>
      </c>
      <c r="L80" s="29"/>
      <c r="M80" s="66">
        <v>0</v>
      </c>
      <c r="N80" s="29"/>
      <c r="O80" s="6"/>
    </row>
    <row r="81" spans="1:15" ht="15.75">
      <c r="A81" s="28"/>
      <c r="B81" s="29" t="s">
        <v>53</v>
      </c>
      <c r="C81" s="53"/>
      <c r="D81" s="29">
        <v>12390</v>
      </c>
      <c r="E81" s="29">
        <v>13842</v>
      </c>
      <c r="F81" s="29"/>
      <c r="G81" s="65">
        <f>E81+D81</f>
        <v>26232</v>
      </c>
      <c r="H81" s="29"/>
      <c r="I81" s="29"/>
      <c r="J81" s="29"/>
      <c r="K81" s="65">
        <v>0</v>
      </c>
      <c r="L81" s="29"/>
      <c r="M81" s="66"/>
      <c r="N81" s="29"/>
      <c r="O81" s="6"/>
    </row>
    <row r="82" spans="1:15" ht="15.75">
      <c r="A82" s="28"/>
      <c r="B82" s="29" t="s">
        <v>54</v>
      </c>
      <c r="C82" s="29"/>
      <c r="D82" s="29"/>
      <c r="E82" s="29"/>
      <c r="F82" s="29"/>
      <c r="G82" s="65"/>
      <c r="H82" s="29"/>
      <c r="I82" s="29">
        <f>1372+214+1463+309+1346+208+33-2250</f>
        <v>2695</v>
      </c>
      <c r="J82" s="29"/>
      <c r="K82" s="65">
        <f>3193+236+3622+225+3343+242+11-7563</f>
        <v>3309</v>
      </c>
      <c r="L82" s="29"/>
      <c r="M82" s="66">
        <f>K82+I82</f>
        <v>6004</v>
      </c>
      <c r="N82" s="29"/>
      <c r="O82" s="6"/>
    </row>
    <row r="83" spans="1:15" ht="15.75">
      <c r="A83" s="28"/>
      <c r="B83" s="29" t="s">
        <v>55</v>
      </c>
      <c r="C83" s="29"/>
      <c r="D83" s="29"/>
      <c r="E83" s="29"/>
      <c r="F83" s="29"/>
      <c r="G83" s="65"/>
      <c r="H83" s="29"/>
      <c r="I83" s="29"/>
      <c r="J83" s="29"/>
      <c r="K83" s="65"/>
      <c r="L83" s="29"/>
      <c r="M83" s="66">
        <f>211+59+61</f>
        <v>331</v>
      </c>
      <c r="N83" s="29"/>
      <c r="O83" s="6"/>
    </row>
    <row r="84" spans="1:20" ht="15.75">
      <c r="A84" s="28"/>
      <c r="B84" s="29" t="s">
        <v>56</v>
      </c>
      <c r="C84" s="29"/>
      <c r="D84" s="29"/>
      <c r="E84" s="29"/>
      <c r="F84" s="29"/>
      <c r="G84" s="65"/>
      <c r="H84" s="29"/>
      <c r="I84" s="29"/>
      <c r="J84" s="29"/>
      <c r="K84" s="65"/>
      <c r="L84" s="29"/>
      <c r="M84" s="66">
        <v>0</v>
      </c>
      <c r="N84" s="29"/>
      <c r="O84" s="6"/>
      <c r="P84" s="132"/>
      <c r="R84" s="132"/>
      <c r="T84" s="132"/>
    </row>
    <row r="85" spans="1:20" ht="15.75">
      <c r="A85" s="28"/>
      <c r="B85" s="29" t="s">
        <v>57</v>
      </c>
      <c r="C85" s="29"/>
      <c r="D85" s="29"/>
      <c r="E85" s="29"/>
      <c r="F85" s="29"/>
      <c r="G85" s="65"/>
      <c r="H85" s="29"/>
      <c r="I85" s="29"/>
      <c r="J85" s="29"/>
      <c r="K85" s="65"/>
      <c r="L85" s="29"/>
      <c r="M85" s="66">
        <v>0</v>
      </c>
      <c r="N85" s="29"/>
      <c r="O85" s="6"/>
      <c r="P85" s="132"/>
      <c r="R85" s="132"/>
      <c r="T85" s="132"/>
    </row>
    <row r="86" spans="1:15" ht="15.75">
      <c r="A86" s="28"/>
      <c r="B86" s="29" t="s">
        <v>58</v>
      </c>
      <c r="C86" s="29"/>
      <c r="D86" s="65">
        <f>SUM(D80:D85)</f>
        <v>12390</v>
      </c>
      <c r="E86" s="65">
        <f>SUM(E80:E85)</f>
        <v>13842</v>
      </c>
      <c r="F86" s="29"/>
      <c r="G86" s="65">
        <f>SUM(G80:G85)</f>
        <v>26232</v>
      </c>
      <c r="H86" s="29"/>
      <c r="I86" s="65">
        <f>SUM(I80:I85)</f>
        <v>2695</v>
      </c>
      <c r="J86" s="29"/>
      <c r="K86" s="65">
        <f>SUM(K80:K85)</f>
        <v>3309</v>
      </c>
      <c r="L86" s="29"/>
      <c r="M86" s="67">
        <f>SUM(M80:M85)</f>
        <v>6335</v>
      </c>
      <c r="N86" s="29"/>
      <c r="O86" s="6"/>
    </row>
    <row r="87" spans="1:20" ht="15.75">
      <c r="A87" s="28"/>
      <c r="B87" s="29" t="s">
        <v>59</v>
      </c>
      <c r="C87" s="29"/>
      <c r="D87" s="65">
        <f>G59</f>
        <v>80</v>
      </c>
      <c r="E87" s="65">
        <f>G66</f>
        <v>62</v>
      </c>
      <c r="F87" s="29"/>
      <c r="G87" s="65">
        <f>E87+D87</f>
        <v>142</v>
      </c>
      <c r="H87" s="29"/>
      <c r="I87" s="65">
        <v>0</v>
      </c>
      <c r="J87" s="29"/>
      <c r="K87" s="65">
        <v>0</v>
      </c>
      <c r="L87" s="29"/>
      <c r="M87" s="66">
        <f>-G87</f>
        <v>-142</v>
      </c>
      <c r="N87" s="29"/>
      <c r="O87" s="6"/>
      <c r="P87" s="132"/>
      <c r="R87" s="132"/>
      <c r="T87" s="132"/>
    </row>
    <row r="88" spans="1:15" ht="15.75">
      <c r="A88" s="28"/>
      <c r="B88" s="29" t="s">
        <v>60</v>
      </c>
      <c r="C88" s="29"/>
      <c r="D88" s="65">
        <f>D86+D87</f>
        <v>12470</v>
      </c>
      <c r="E88" s="65">
        <f>E86+E87</f>
        <v>13904</v>
      </c>
      <c r="F88" s="29"/>
      <c r="G88" s="65">
        <f>G86+G87</f>
        <v>26374</v>
      </c>
      <c r="H88" s="29"/>
      <c r="I88" s="65">
        <f>I86+I87</f>
        <v>2695</v>
      </c>
      <c r="J88" s="29"/>
      <c r="K88" s="65">
        <f>K86+K87</f>
        <v>3309</v>
      </c>
      <c r="L88" s="29"/>
      <c r="M88" s="67">
        <f>M86+M87</f>
        <v>6193</v>
      </c>
      <c r="N88" s="29"/>
      <c r="O88" s="6"/>
    </row>
    <row r="89" spans="1:15" ht="15.75">
      <c r="A89" s="28"/>
      <c r="B89" s="157" t="s">
        <v>61</v>
      </c>
      <c r="C89" s="72"/>
      <c r="D89" s="72"/>
      <c r="E89" s="29"/>
      <c r="F89" s="29"/>
      <c r="G89" s="29"/>
      <c r="H89" s="29"/>
      <c r="I89" s="29"/>
      <c r="J89" s="29"/>
      <c r="K89" s="65"/>
      <c r="L89" s="29"/>
      <c r="M89" s="66"/>
      <c r="N89" s="29"/>
      <c r="O89" s="6"/>
    </row>
    <row r="90" spans="1:15" ht="15.75">
      <c r="A90" s="28">
        <v>1</v>
      </c>
      <c r="B90" s="29" t="s">
        <v>62</v>
      </c>
      <c r="C90" s="29"/>
      <c r="D90" s="29"/>
      <c r="E90" s="29"/>
      <c r="F90" s="29"/>
      <c r="G90" s="29"/>
      <c r="H90" s="29"/>
      <c r="I90" s="29"/>
      <c r="J90" s="29"/>
      <c r="K90" s="29"/>
      <c r="L90" s="29"/>
      <c r="M90" s="66">
        <v>-4</v>
      </c>
      <c r="N90" s="29"/>
      <c r="O90" s="6"/>
    </row>
    <row r="91" spans="1:15" ht="15.75">
      <c r="A91" s="28">
        <v>2</v>
      </c>
      <c r="B91" s="29" t="s">
        <v>63</v>
      </c>
      <c r="C91" s="29"/>
      <c r="D91" s="29"/>
      <c r="E91" s="29"/>
      <c r="F91" s="29"/>
      <c r="G91" s="29"/>
      <c r="H91" s="29"/>
      <c r="I91" s="29"/>
      <c r="J91" s="29"/>
      <c r="K91" s="29"/>
      <c r="L91" s="29"/>
      <c r="M91" s="66">
        <f>-214-73</f>
        <v>-287</v>
      </c>
      <c r="N91" s="29"/>
      <c r="O91" s="6"/>
    </row>
    <row r="92" spans="1:15" ht="15.75">
      <c r="A92" s="28">
        <v>3</v>
      </c>
      <c r="B92" s="29" t="s">
        <v>64</v>
      </c>
      <c r="C92" s="29"/>
      <c r="D92" s="29"/>
      <c r="E92" s="29"/>
      <c r="F92" s="29"/>
      <c r="G92" s="29"/>
      <c r="H92" s="29"/>
      <c r="I92" s="29"/>
      <c r="J92" s="29"/>
      <c r="K92" s="29"/>
      <c r="L92" s="29"/>
      <c r="M92" s="66">
        <v>-1895</v>
      </c>
      <c r="N92" s="29"/>
      <c r="O92" s="6"/>
    </row>
    <row r="93" spans="1:15" ht="15.75">
      <c r="A93" s="28">
        <v>4</v>
      </c>
      <c r="B93" s="29" t="s">
        <v>227</v>
      </c>
      <c r="C93" s="29"/>
      <c r="D93" s="29"/>
      <c r="E93" s="29"/>
      <c r="F93" s="29"/>
      <c r="G93" s="29"/>
      <c r="H93" s="29"/>
      <c r="I93" s="29"/>
      <c r="J93" s="29"/>
      <c r="K93" s="29"/>
      <c r="L93" s="29"/>
      <c r="M93" s="66">
        <v>-233</v>
      </c>
      <c r="N93" s="29"/>
      <c r="O93" s="6"/>
    </row>
    <row r="94" spans="1:15" ht="15.75">
      <c r="A94" s="28">
        <v>4</v>
      </c>
      <c r="B94" s="29" t="s">
        <v>65</v>
      </c>
      <c r="C94" s="29"/>
      <c r="D94" s="29"/>
      <c r="E94" s="29"/>
      <c r="F94" s="29"/>
      <c r="G94" s="29"/>
      <c r="H94" s="29"/>
      <c r="I94" s="29"/>
      <c r="J94" s="29"/>
      <c r="K94" s="29"/>
      <c r="L94" s="29"/>
      <c r="M94" s="66">
        <v>-5</v>
      </c>
      <c r="N94" s="29"/>
      <c r="O94" s="6"/>
    </row>
    <row r="95" spans="1:15" ht="15.75">
      <c r="A95" s="28">
        <v>5</v>
      </c>
      <c r="B95" s="29" t="s">
        <v>66</v>
      </c>
      <c r="C95" s="29"/>
      <c r="D95" s="29"/>
      <c r="E95" s="29"/>
      <c r="F95" s="29"/>
      <c r="G95" s="29"/>
      <c r="H95" s="29"/>
      <c r="I95" s="29"/>
      <c r="J95" s="29"/>
      <c r="K95" s="29"/>
      <c r="L95" s="29"/>
      <c r="M95" s="66">
        <v>-204</v>
      </c>
      <c r="N95" s="29"/>
      <c r="O95" s="6"/>
    </row>
    <row r="96" spans="1:15" ht="15.75">
      <c r="A96" s="28">
        <v>6</v>
      </c>
      <c r="B96" s="29" t="s">
        <v>67</v>
      </c>
      <c r="C96" s="29"/>
      <c r="D96" s="29"/>
      <c r="E96" s="29"/>
      <c r="F96" s="29"/>
      <c r="G96" s="29"/>
      <c r="H96" s="29"/>
      <c r="I96" s="29"/>
      <c r="J96" s="29"/>
      <c r="K96" s="29"/>
      <c r="L96" s="29"/>
      <c r="M96" s="66">
        <v>-145</v>
      </c>
      <c r="N96" s="29"/>
      <c r="O96" s="6"/>
    </row>
    <row r="97" spans="1:15" ht="15.75">
      <c r="A97" s="28">
        <v>7</v>
      </c>
      <c r="B97" s="29" t="s">
        <v>68</v>
      </c>
      <c r="C97" s="29"/>
      <c r="D97" s="29"/>
      <c r="E97" s="29"/>
      <c r="F97" s="29"/>
      <c r="G97" s="29"/>
      <c r="H97" s="29"/>
      <c r="I97" s="29"/>
      <c r="J97" s="29"/>
      <c r="K97" s="29"/>
      <c r="L97" s="29"/>
      <c r="M97" s="66">
        <v>0</v>
      </c>
      <c r="N97" s="29"/>
      <c r="O97" s="6"/>
    </row>
    <row r="98" spans="1:15" ht="15.75">
      <c r="A98" s="28">
        <v>8</v>
      </c>
      <c r="B98" s="29" t="s">
        <v>69</v>
      </c>
      <c r="C98" s="29"/>
      <c r="D98" s="29"/>
      <c r="E98" s="29"/>
      <c r="F98" s="29"/>
      <c r="G98" s="29"/>
      <c r="H98" s="29"/>
      <c r="I98" s="29"/>
      <c r="J98" s="29"/>
      <c r="K98" s="65">
        <f>-M98</f>
        <v>734</v>
      </c>
      <c r="L98" s="29"/>
      <c r="M98" s="66">
        <f>I73</f>
        <v>-734</v>
      </c>
      <c r="N98" s="29"/>
      <c r="O98" s="6"/>
    </row>
    <row r="99" spans="1:15" ht="15.75">
      <c r="A99" s="28">
        <v>9</v>
      </c>
      <c r="B99" s="29" t="s">
        <v>46</v>
      </c>
      <c r="C99" s="29"/>
      <c r="D99" s="29"/>
      <c r="E99" s="29"/>
      <c r="F99" s="29"/>
      <c r="G99" s="29"/>
      <c r="H99" s="29"/>
      <c r="I99" s="29"/>
      <c r="J99" s="29"/>
      <c r="K99" s="65">
        <f>-M99</f>
        <v>0</v>
      </c>
      <c r="L99" s="29"/>
      <c r="M99" s="66">
        <v>0</v>
      </c>
      <c r="N99" s="29"/>
      <c r="O99" s="6"/>
    </row>
    <row r="100" spans="1:15" ht="15.75">
      <c r="A100" s="28">
        <v>10</v>
      </c>
      <c r="B100" s="29" t="s">
        <v>228</v>
      </c>
      <c r="C100" s="29"/>
      <c r="D100" s="29"/>
      <c r="E100" s="29"/>
      <c r="F100" s="29"/>
      <c r="G100" s="29"/>
      <c r="H100" s="29"/>
      <c r="I100" s="29"/>
      <c r="J100" s="29"/>
      <c r="K100" s="29"/>
      <c r="L100" s="29"/>
      <c r="M100" s="66">
        <v>-215</v>
      </c>
      <c r="N100" s="29"/>
      <c r="O100" s="6"/>
    </row>
    <row r="101" spans="1:15" ht="15.75">
      <c r="A101" s="28">
        <v>11</v>
      </c>
      <c r="B101" s="29" t="s">
        <v>71</v>
      </c>
      <c r="C101" s="29"/>
      <c r="D101" s="29"/>
      <c r="E101" s="29"/>
      <c r="F101" s="29"/>
      <c r="G101" s="29"/>
      <c r="H101" s="29"/>
      <c r="I101" s="29"/>
      <c r="J101" s="29"/>
      <c r="K101" s="29"/>
      <c r="L101" s="29"/>
      <c r="M101" s="66">
        <f>SUM(M88:M100)*-1</f>
        <v>-2471</v>
      </c>
      <c r="N101" s="29"/>
      <c r="O101" s="6"/>
    </row>
    <row r="102" spans="1:15" ht="15.75">
      <c r="A102" s="28"/>
      <c r="B102" s="157" t="s">
        <v>72</v>
      </c>
      <c r="C102" s="72"/>
      <c r="D102" s="72"/>
      <c r="E102" s="29"/>
      <c r="F102" s="29"/>
      <c r="G102" s="29"/>
      <c r="H102" s="29"/>
      <c r="I102" s="29"/>
      <c r="J102" s="29"/>
      <c r="K102" s="29"/>
      <c r="L102" s="29"/>
      <c r="M102" s="73"/>
      <c r="N102" s="29"/>
      <c r="O102" s="6"/>
    </row>
    <row r="103" spans="1:15" ht="15.75">
      <c r="A103" s="28"/>
      <c r="B103" s="74" t="s">
        <v>73</v>
      </c>
      <c r="C103" s="72"/>
      <c r="D103" s="72"/>
      <c r="E103" s="29"/>
      <c r="F103" s="29"/>
      <c r="G103" s="29"/>
      <c r="H103" s="29"/>
      <c r="I103" s="29"/>
      <c r="J103" s="29"/>
      <c r="K103" s="65">
        <f>E72</f>
        <v>22583</v>
      </c>
      <c r="L103" s="29"/>
      <c r="M103" s="73"/>
      <c r="N103" s="29"/>
      <c r="O103" s="6"/>
    </row>
    <row r="104" spans="1:15" ht="15.75">
      <c r="A104" s="28"/>
      <c r="B104" s="74" t="s">
        <v>74</v>
      </c>
      <c r="C104" s="72"/>
      <c r="D104" s="72"/>
      <c r="E104" s="29"/>
      <c r="F104" s="29"/>
      <c r="G104" s="29"/>
      <c r="H104" s="29"/>
      <c r="I104" s="29"/>
      <c r="J104" s="29"/>
      <c r="K104" s="65">
        <f>G88</f>
        <v>26374</v>
      </c>
      <c r="L104" s="29"/>
      <c r="M104" s="73"/>
      <c r="N104" s="29"/>
      <c r="O104" s="6"/>
    </row>
    <row r="105" spans="1:15" ht="15.75">
      <c r="A105" s="75"/>
      <c r="B105" s="29" t="s">
        <v>75</v>
      </c>
      <c r="C105" s="72"/>
      <c r="D105" s="72"/>
      <c r="E105" s="29"/>
      <c r="F105" s="29"/>
      <c r="G105" s="29"/>
      <c r="H105" s="29"/>
      <c r="I105" s="29"/>
      <c r="J105" s="29"/>
      <c r="K105" s="65">
        <f>-I68-I61</f>
        <v>-28651</v>
      </c>
      <c r="L105" s="29"/>
      <c r="M105" s="73"/>
      <c r="N105" s="29"/>
      <c r="O105" s="6"/>
    </row>
    <row r="106" spans="1:15" ht="15.75">
      <c r="A106" s="28"/>
      <c r="B106" s="29" t="s">
        <v>76</v>
      </c>
      <c r="C106" s="72"/>
      <c r="D106" s="72"/>
      <c r="E106" s="29"/>
      <c r="F106" s="29"/>
      <c r="G106" s="29"/>
      <c r="H106" s="29"/>
      <c r="I106" s="29"/>
      <c r="J106" s="29"/>
      <c r="K106" s="65">
        <v>0</v>
      </c>
      <c r="L106" s="65"/>
      <c r="M106" s="66"/>
      <c r="N106" s="29"/>
      <c r="O106" s="6"/>
    </row>
    <row r="107" spans="1:15" ht="15.75">
      <c r="A107" s="28"/>
      <c r="B107" s="29" t="s">
        <v>77</v>
      </c>
      <c r="C107" s="29"/>
      <c r="D107" s="29"/>
      <c r="E107" s="29"/>
      <c r="F107" s="29"/>
      <c r="G107" s="29"/>
      <c r="H107" s="29"/>
      <c r="I107" s="29"/>
      <c r="J107" s="29"/>
      <c r="K107" s="65">
        <v>0</v>
      </c>
      <c r="L107" s="65"/>
      <c r="M107" s="66"/>
      <c r="N107" s="29"/>
      <c r="O107" s="6"/>
    </row>
    <row r="108" spans="1:15" ht="15.75">
      <c r="A108" s="28"/>
      <c r="B108" s="29" t="s">
        <v>78</v>
      </c>
      <c r="C108" s="29"/>
      <c r="D108" s="29"/>
      <c r="E108" s="29"/>
      <c r="F108" s="29"/>
      <c r="G108" s="29"/>
      <c r="H108" s="29"/>
      <c r="I108" s="29"/>
      <c r="J108" s="29"/>
      <c r="K108" s="65">
        <v>0</v>
      </c>
      <c r="L108" s="65"/>
      <c r="M108" s="66"/>
      <c r="N108" s="29"/>
      <c r="O108" s="6"/>
    </row>
    <row r="109" spans="1:15" ht="15.75">
      <c r="A109" s="28"/>
      <c r="B109" s="29" t="s">
        <v>79</v>
      </c>
      <c r="C109" s="29"/>
      <c r="D109" s="29"/>
      <c r="E109" s="29"/>
      <c r="F109" s="29"/>
      <c r="G109" s="29"/>
      <c r="H109" s="29"/>
      <c r="I109" s="29"/>
      <c r="J109" s="29"/>
      <c r="K109" s="65">
        <v>0</v>
      </c>
      <c r="L109" s="65"/>
      <c r="M109" s="66"/>
      <c r="N109" s="29"/>
      <c r="O109" s="6"/>
    </row>
    <row r="110" spans="1:15" ht="15.75">
      <c r="A110" s="28"/>
      <c r="B110" s="29" t="s">
        <v>80</v>
      </c>
      <c r="C110" s="29"/>
      <c r="D110" s="29"/>
      <c r="E110" s="29"/>
      <c r="F110" s="29"/>
      <c r="G110" s="29"/>
      <c r="H110" s="29"/>
      <c r="I110" s="29"/>
      <c r="J110" s="29"/>
      <c r="K110" s="65">
        <v>0</v>
      </c>
      <c r="L110" s="65"/>
      <c r="M110" s="66"/>
      <c r="N110" s="29"/>
      <c r="O110" s="6"/>
    </row>
    <row r="111" spans="1:15" ht="15.75">
      <c r="A111" s="28"/>
      <c r="B111" s="29" t="s">
        <v>81</v>
      </c>
      <c r="C111" s="29"/>
      <c r="D111" s="29"/>
      <c r="E111" s="29"/>
      <c r="F111" s="29"/>
      <c r="G111" s="29"/>
      <c r="H111" s="29"/>
      <c r="I111" s="29"/>
      <c r="J111" s="29"/>
      <c r="K111" s="65">
        <v>0</v>
      </c>
      <c r="L111" s="65"/>
      <c r="M111" s="66"/>
      <c r="N111" s="29"/>
      <c r="O111" s="6"/>
    </row>
    <row r="112" spans="1:15" ht="15.75">
      <c r="A112" s="28"/>
      <c r="B112" s="29" t="s">
        <v>82</v>
      </c>
      <c r="C112" s="29"/>
      <c r="D112" s="29"/>
      <c r="E112" s="29"/>
      <c r="F112" s="29"/>
      <c r="G112" s="29"/>
      <c r="H112" s="29"/>
      <c r="I112" s="29"/>
      <c r="J112" s="29"/>
      <c r="K112" s="65">
        <f>SUM(K105:K111)</f>
        <v>-28651</v>
      </c>
      <c r="L112" s="65"/>
      <c r="M112" s="65">
        <f>SUM(M89:M101)</f>
        <v>-6193</v>
      </c>
      <c r="N112" s="29"/>
      <c r="O112" s="6"/>
    </row>
    <row r="113" spans="1:15" ht="15.75">
      <c r="A113" s="28"/>
      <c r="B113" s="29" t="s">
        <v>83</v>
      </c>
      <c r="C113" s="29"/>
      <c r="D113" s="29"/>
      <c r="E113" s="29"/>
      <c r="F113" s="29"/>
      <c r="G113" s="29"/>
      <c r="H113" s="29"/>
      <c r="I113" s="29"/>
      <c r="J113" s="29"/>
      <c r="K113" s="65">
        <f>SUM(K103:K111)+SUM(K98:K99)</f>
        <v>21040</v>
      </c>
      <c r="L113" s="65"/>
      <c r="M113" s="65">
        <f>M88+M112</f>
        <v>0</v>
      </c>
      <c r="N113" s="29"/>
      <c r="O113" s="6"/>
    </row>
    <row r="114" spans="1:15" ht="15.75">
      <c r="A114" s="28"/>
      <c r="B114" s="29"/>
      <c r="C114" s="29"/>
      <c r="D114" s="29"/>
      <c r="E114" s="29"/>
      <c r="F114" s="29"/>
      <c r="G114" s="29"/>
      <c r="H114" s="29"/>
      <c r="I114" s="29"/>
      <c r="J114" s="29"/>
      <c r="K114" s="65"/>
      <c r="L114" s="65"/>
      <c r="M114" s="65"/>
      <c r="N114" s="29"/>
      <c r="O114" s="6"/>
    </row>
    <row r="115" spans="1:15" ht="15.75">
      <c r="A115" s="7"/>
      <c r="B115" s="14"/>
      <c r="C115" s="9"/>
      <c r="D115" s="9"/>
      <c r="E115" s="9"/>
      <c r="F115" s="9"/>
      <c r="G115" s="9"/>
      <c r="H115" s="9"/>
      <c r="I115" s="9"/>
      <c r="J115" s="9"/>
      <c r="K115" s="68"/>
      <c r="L115" s="68"/>
      <c r="M115" s="68"/>
      <c r="N115" s="9"/>
      <c r="O115" s="6"/>
    </row>
    <row r="116" spans="1:15" ht="16.5" thickBot="1">
      <c r="A116" s="134"/>
      <c r="B116" s="135" t="str">
        <f>B53</f>
        <v>PASF1 INVESTOR REPORT QUARTER ENDING JANUARY 2003</v>
      </c>
      <c r="C116" s="136"/>
      <c r="D116" s="136"/>
      <c r="E116" s="136"/>
      <c r="F116" s="136"/>
      <c r="G116" s="136"/>
      <c r="H116" s="136"/>
      <c r="I116" s="136"/>
      <c r="J116" s="136"/>
      <c r="K116" s="139"/>
      <c r="L116" s="139"/>
      <c r="M116" s="139"/>
      <c r="N116" s="138"/>
      <c r="O116" s="6"/>
    </row>
    <row r="117" spans="1:15" ht="15.75">
      <c r="A117" s="2"/>
      <c r="B117" s="5"/>
      <c r="C117" s="5"/>
      <c r="D117" s="5"/>
      <c r="E117" s="5"/>
      <c r="F117" s="5"/>
      <c r="G117" s="5"/>
      <c r="H117" s="5"/>
      <c r="I117" s="5"/>
      <c r="J117" s="5"/>
      <c r="K117" s="76"/>
      <c r="L117" s="76"/>
      <c r="M117" s="76"/>
      <c r="N117" s="5"/>
      <c r="O117" s="6"/>
    </row>
    <row r="118" spans="1:15" ht="15.75">
      <c r="A118" s="7"/>
      <c r="B118" s="9"/>
      <c r="C118" s="9"/>
      <c r="D118" s="9"/>
      <c r="E118" s="9"/>
      <c r="F118" s="9"/>
      <c r="G118" s="9"/>
      <c r="H118" s="9"/>
      <c r="I118" s="9"/>
      <c r="J118" s="9"/>
      <c r="K118" s="9"/>
      <c r="L118" s="9"/>
      <c r="M118" s="64"/>
      <c r="N118" s="9"/>
      <c r="O118" s="6"/>
    </row>
    <row r="119" spans="1:15" ht="15.75">
      <c r="A119" s="77"/>
      <c r="B119" s="78"/>
      <c r="C119" s="78"/>
      <c r="D119" s="78"/>
      <c r="E119" s="78"/>
      <c r="F119" s="78"/>
      <c r="G119" s="78"/>
      <c r="H119" s="78"/>
      <c r="I119" s="78"/>
      <c r="J119" s="78"/>
      <c r="K119" s="78"/>
      <c r="L119" s="78"/>
      <c r="M119" s="79"/>
      <c r="N119" s="78"/>
      <c r="O119" s="6"/>
    </row>
    <row r="120" spans="1:15" ht="15.75">
      <c r="A120" s="77"/>
      <c r="B120" s="80" t="s">
        <v>84</v>
      </c>
      <c r="C120" s="78"/>
      <c r="D120" s="78"/>
      <c r="E120" s="78"/>
      <c r="F120" s="78"/>
      <c r="G120" s="78"/>
      <c r="H120" s="78"/>
      <c r="I120" s="78"/>
      <c r="J120" s="78"/>
      <c r="K120" s="78"/>
      <c r="L120" s="78"/>
      <c r="M120" s="79"/>
      <c r="N120" s="81"/>
      <c r="O120" s="6"/>
    </row>
    <row r="121" spans="1:15" ht="15.75">
      <c r="A121" s="77"/>
      <c r="B121" s="78"/>
      <c r="C121" s="78"/>
      <c r="D121" s="78"/>
      <c r="E121" s="78"/>
      <c r="F121" s="78"/>
      <c r="G121" s="78"/>
      <c r="H121" s="78"/>
      <c r="I121" s="78"/>
      <c r="J121" s="78"/>
      <c r="K121" s="78"/>
      <c r="L121" s="78"/>
      <c r="M121" s="79"/>
      <c r="N121" s="78"/>
      <c r="O121" s="6"/>
    </row>
    <row r="122" spans="1:15" ht="15.75">
      <c r="A122" s="7"/>
      <c r="B122" s="158" t="s">
        <v>85</v>
      </c>
      <c r="C122" s="15"/>
      <c r="D122" s="15"/>
      <c r="E122" s="9"/>
      <c r="F122" s="9"/>
      <c r="G122" s="9"/>
      <c r="H122" s="9"/>
      <c r="I122" s="9"/>
      <c r="J122" s="9"/>
      <c r="K122" s="9"/>
      <c r="L122" s="9"/>
      <c r="M122" s="64"/>
      <c r="N122" s="9"/>
      <c r="O122" s="6"/>
    </row>
    <row r="123" spans="1:15" ht="15.75">
      <c r="A123" s="28"/>
      <c r="B123" s="29" t="s">
        <v>86</v>
      </c>
      <c r="C123" s="29"/>
      <c r="D123" s="29"/>
      <c r="E123" s="29"/>
      <c r="F123" s="29"/>
      <c r="G123" s="29"/>
      <c r="H123" s="29"/>
      <c r="I123" s="29"/>
      <c r="J123" s="29"/>
      <c r="K123" s="29"/>
      <c r="L123" s="29"/>
      <c r="M123" s="66">
        <v>5852</v>
      </c>
      <c r="N123" s="29"/>
      <c r="O123" s="6"/>
    </row>
    <row r="124" spans="1:15" ht="15.75">
      <c r="A124" s="28"/>
      <c r="B124" s="29" t="s">
        <v>87</v>
      </c>
      <c r="C124" s="29"/>
      <c r="D124" s="29"/>
      <c r="E124" s="29"/>
      <c r="F124" s="29"/>
      <c r="G124" s="29"/>
      <c r="H124" s="29"/>
      <c r="I124" s="29"/>
      <c r="J124" s="29"/>
      <c r="K124" s="29"/>
      <c r="L124" s="29"/>
      <c r="M124" s="66">
        <v>0</v>
      </c>
      <c r="N124" s="29"/>
      <c r="O124" s="6"/>
    </row>
    <row r="125" spans="1:15" ht="15.75">
      <c r="A125" s="28"/>
      <c r="B125" s="29" t="s">
        <v>88</v>
      </c>
      <c r="C125" s="29"/>
      <c r="D125" s="29"/>
      <c r="E125" s="29"/>
      <c r="F125" s="29"/>
      <c r="G125" s="29"/>
      <c r="H125" s="29"/>
      <c r="I125" s="29"/>
      <c r="J125" s="29"/>
      <c r="K125" s="29"/>
      <c r="L125" s="29"/>
      <c r="M125" s="66">
        <v>0</v>
      </c>
      <c r="N125" s="29"/>
      <c r="O125" s="6"/>
    </row>
    <row r="126" spans="1:15" ht="15.75">
      <c r="A126" s="28"/>
      <c r="B126" s="29" t="s">
        <v>89</v>
      </c>
      <c r="C126" s="29"/>
      <c r="D126" s="29"/>
      <c r="E126" s="29"/>
      <c r="F126" s="29"/>
      <c r="G126" s="29"/>
      <c r="H126" s="29"/>
      <c r="I126" s="29"/>
      <c r="J126" s="29"/>
      <c r="K126" s="29"/>
      <c r="L126" s="29"/>
      <c r="M126" s="66">
        <v>0</v>
      </c>
      <c r="N126" s="29"/>
      <c r="O126" s="6"/>
    </row>
    <row r="127" spans="1:15" ht="15.75">
      <c r="A127" s="28"/>
      <c r="B127" s="29" t="s">
        <v>90</v>
      </c>
      <c r="C127" s="29"/>
      <c r="D127" s="29"/>
      <c r="E127" s="29"/>
      <c r="F127" s="29"/>
      <c r="G127" s="29"/>
      <c r="H127" s="29"/>
      <c r="I127" s="29"/>
      <c r="J127" s="29"/>
      <c r="K127" s="29"/>
      <c r="L127" s="29"/>
      <c r="M127" s="66">
        <v>0</v>
      </c>
      <c r="N127" s="29"/>
      <c r="O127" s="6"/>
    </row>
    <row r="128" spans="1:15" ht="15.75">
      <c r="A128" s="28"/>
      <c r="B128" s="29" t="s">
        <v>91</v>
      </c>
      <c r="C128" s="29"/>
      <c r="D128" s="29"/>
      <c r="E128" s="29"/>
      <c r="F128" s="29"/>
      <c r="G128" s="29"/>
      <c r="H128" s="29"/>
      <c r="I128" s="29"/>
      <c r="J128" s="29"/>
      <c r="K128" s="29"/>
      <c r="L128" s="29"/>
      <c r="M128" s="66">
        <v>0</v>
      </c>
      <c r="N128" s="29"/>
      <c r="O128" s="6"/>
    </row>
    <row r="129" spans="1:15" ht="15.75">
      <c r="A129" s="28"/>
      <c r="B129" s="29" t="s">
        <v>66</v>
      </c>
      <c r="C129" s="29"/>
      <c r="D129" s="29"/>
      <c r="E129" s="29"/>
      <c r="F129" s="29"/>
      <c r="G129" s="29"/>
      <c r="H129" s="29"/>
      <c r="I129" s="29"/>
      <c r="J129" s="29"/>
      <c r="K129" s="29"/>
      <c r="L129" s="29"/>
      <c r="M129" s="66">
        <v>0</v>
      </c>
      <c r="N129" s="29"/>
      <c r="O129" s="6"/>
    </row>
    <row r="130" spans="1:15" ht="15.75">
      <c r="A130" s="28"/>
      <c r="B130" s="29" t="s">
        <v>67</v>
      </c>
      <c r="C130" s="29"/>
      <c r="D130" s="29"/>
      <c r="E130" s="29"/>
      <c r="F130" s="29"/>
      <c r="G130" s="29"/>
      <c r="H130" s="29"/>
      <c r="I130" s="29"/>
      <c r="J130" s="29"/>
      <c r="K130" s="29"/>
      <c r="L130" s="29"/>
      <c r="M130" s="66">
        <v>0</v>
      </c>
      <c r="N130" s="29"/>
      <c r="O130" s="6"/>
    </row>
    <row r="131" spans="1:15" ht="15.75">
      <c r="A131" s="28"/>
      <c r="B131" s="29" t="s">
        <v>92</v>
      </c>
      <c r="C131" s="29"/>
      <c r="D131" s="29"/>
      <c r="E131" s="29"/>
      <c r="F131" s="29"/>
      <c r="G131" s="29"/>
      <c r="H131" s="29"/>
      <c r="I131" s="29"/>
      <c r="J131" s="29"/>
      <c r="K131" s="29"/>
      <c r="L131" s="29"/>
      <c r="M131" s="66">
        <f>M123+M126</f>
        <v>5852</v>
      </c>
      <c r="N131" s="29"/>
      <c r="O131" s="6"/>
    </row>
    <row r="132" spans="1:15" ht="15.75">
      <c r="A132" s="28"/>
      <c r="B132" s="29"/>
      <c r="C132" s="29"/>
      <c r="D132" s="29"/>
      <c r="E132" s="29"/>
      <c r="F132" s="29"/>
      <c r="G132" s="29"/>
      <c r="H132" s="29"/>
      <c r="I132" s="29"/>
      <c r="J132" s="29"/>
      <c r="K132" s="29"/>
      <c r="L132" s="29"/>
      <c r="M132" s="82"/>
      <c r="N132" s="29"/>
      <c r="O132" s="6"/>
    </row>
    <row r="133" spans="1:15" ht="15.75">
      <c r="A133" s="7"/>
      <c r="B133" s="158" t="s">
        <v>50</v>
      </c>
      <c r="C133" s="9"/>
      <c r="D133" s="9"/>
      <c r="E133" s="9"/>
      <c r="F133" s="9"/>
      <c r="G133" s="9"/>
      <c r="H133" s="9"/>
      <c r="I133" s="9"/>
      <c r="J133" s="9"/>
      <c r="K133" s="9"/>
      <c r="L133" s="9"/>
      <c r="M133" s="64"/>
      <c r="N133" s="9"/>
      <c r="O133" s="6"/>
    </row>
    <row r="134" spans="1:15" ht="15.75">
      <c r="A134" s="28"/>
      <c r="B134" s="29" t="s">
        <v>93</v>
      </c>
      <c r="C134" s="83"/>
      <c r="D134" s="83"/>
      <c r="E134" s="29"/>
      <c r="F134" s="29"/>
      <c r="G134" s="29"/>
      <c r="H134" s="29"/>
      <c r="I134" s="29"/>
      <c r="J134" s="29"/>
      <c r="K134" s="29"/>
      <c r="L134" s="29"/>
      <c r="M134" s="66">
        <v>2926</v>
      </c>
      <c r="N134" s="29"/>
      <c r="O134" s="6"/>
    </row>
    <row r="135" spans="1:15" ht="15.75">
      <c r="A135" s="28"/>
      <c r="B135" s="29" t="s">
        <v>94</v>
      </c>
      <c r="C135" s="29"/>
      <c r="D135" s="29"/>
      <c r="E135" s="29"/>
      <c r="F135" s="29"/>
      <c r="G135" s="29"/>
      <c r="H135" s="29"/>
      <c r="I135" s="29"/>
      <c r="J135" s="29"/>
      <c r="K135" s="29"/>
      <c r="L135" s="29"/>
      <c r="M135" s="66">
        <v>2926</v>
      </c>
      <c r="N135" s="29"/>
      <c r="O135" s="6"/>
    </row>
    <row r="136" spans="1:15" ht="15.75">
      <c r="A136" s="28"/>
      <c r="B136" s="29" t="s">
        <v>95</v>
      </c>
      <c r="C136" s="29"/>
      <c r="D136" s="29"/>
      <c r="E136" s="29"/>
      <c r="F136" s="29"/>
      <c r="G136" s="29"/>
      <c r="H136" s="29"/>
      <c r="I136" s="29"/>
      <c r="J136" s="29"/>
      <c r="K136" s="29"/>
      <c r="L136" s="29"/>
      <c r="M136" s="66">
        <f>-M99</f>
        <v>0</v>
      </c>
      <c r="N136" s="29"/>
      <c r="O136" s="6"/>
    </row>
    <row r="137" spans="1:15" ht="15.75">
      <c r="A137" s="28"/>
      <c r="B137" s="29" t="s">
        <v>96</v>
      </c>
      <c r="C137" s="29"/>
      <c r="D137" s="29"/>
      <c r="E137" s="29"/>
      <c r="F137" s="29"/>
      <c r="G137" s="29"/>
      <c r="H137" s="29"/>
      <c r="I137" s="29"/>
      <c r="J137" s="29"/>
      <c r="K137" s="29"/>
      <c r="L137" s="29"/>
      <c r="M137" s="66">
        <f>M134-M135-M136</f>
        <v>0</v>
      </c>
      <c r="N137" s="29"/>
      <c r="O137" s="6"/>
    </row>
    <row r="138" spans="1:15" ht="15.75">
      <c r="A138" s="28"/>
      <c r="B138" s="29"/>
      <c r="C138" s="29"/>
      <c r="D138" s="29"/>
      <c r="E138" s="29"/>
      <c r="F138" s="29"/>
      <c r="G138" s="29"/>
      <c r="H138" s="29"/>
      <c r="I138" s="29"/>
      <c r="J138" s="29"/>
      <c r="K138" s="29"/>
      <c r="L138" s="29"/>
      <c r="M138" s="84"/>
      <c r="N138" s="29"/>
      <c r="O138" s="6"/>
    </row>
    <row r="139" spans="1:15" ht="15.75">
      <c r="A139" s="7"/>
      <c r="B139" s="158" t="s">
        <v>97</v>
      </c>
      <c r="C139" s="15"/>
      <c r="D139" s="15"/>
      <c r="E139" s="9"/>
      <c r="F139" s="9"/>
      <c r="G139" s="17" t="s">
        <v>178</v>
      </c>
      <c r="H139" s="17"/>
      <c r="I139" s="17" t="s">
        <v>181</v>
      </c>
      <c r="J139" s="9"/>
      <c r="K139" s="9"/>
      <c r="L139" s="9"/>
      <c r="M139" s="85"/>
      <c r="N139" s="9"/>
      <c r="O139" s="6"/>
    </row>
    <row r="140" spans="1:15" ht="15.75">
      <c r="A140" s="7"/>
      <c r="B140" s="15"/>
      <c r="C140" s="15"/>
      <c r="D140" s="15"/>
      <c r="E140" s="9"/>
      <c r="F140" s="9"/>
      <c r="G140" s="9"/>
      <c r="H140" s="9"/>
      <c r="I140" s="9"/>
      <c r="J140" s="9"/>
      <c r="K140" s="9"/>
      <c r="L140" s="9"/>
      <c r="M140" s="85"/>
      <c r="N140" s="9"/>
      <c r="O140" s="6"/>
    </row>
    <row r="141" spans="1:15" ht="15.75">
      <c r="A141" s="28"/>
      <c r="B141" s="29" t="s">
        <v>98</v>
      </c>
      <c r="C141" s="29"/>
      <c r="D141" s="29"/>
      <c r="E141" s="29"/>
      <c r="F141" s="29"/>
      <c r="G141" s="29">
        <v>0</v>
      </c>
      <c r="H141" s="29"/>
      <c r="I141" s="29">
        <v>0</v>
      </c>
      <c r="J141" s="29"/>
      <c r="K141" s="29"/>
      <c r="L141" s="29"/>
      <c r="M141" s="66">
        <v>0</v>
      </c>
      <c r="N141" s="29"/>
      <c r="O141" s="6"/>
    </row>
    <row r="142" spans="1:15" ht="15.75">
      <c r="A142" s="28"/>
      <c r="B142" s="29" t="s">
        <v>99</v>
      </c>
      <c r="C142" s="29"/>
      <c r="D142" s="29"/>
      <c r="E142" s="29"/>
      <c r="F142" s="29"/>
      <c r="G142" s="29">
        <v>14</v>
      </c>
      <c r="H142" s="29"/>
      <c r="I142" s="29">
        <v>720</v>
      </c>
      <c r="J142" s="29"/>
      <c r="K142" s="29"/>
      <c r="L142" s="29"/>
      <c r="M142" s="66">
        <f>SUM(G142:I142)</f>
        <v>734</v>
      </c>
      <c r="N142" s="29"/>
      <c r="O142" s="6"/>
    </row>
    <row r="143" spans="1:15" ht="15.75">
      <c r="A143" s="28"/>
      <c r="B143" s="29" t="s">
        <v>100</v>
      </c>
      <c r="C143" s="29"/>
      <c r="D143" s="29"/>
      <c r="E143" s="29"/>
      <c r="F143" s="29"/>
      <c r="G143" s="29"/>
      <c r="H143" s="29"/>
      <c r="I143" s="86"/>
      <c r="J143" s="29"/>
      <c r="K143" s="29"/>
      <c r="L143" s="29"/>
      <c r="M143" s="66">
        <f>M98</f>
        <v>-734</v>
      </c>
      <c r="N143" s="29"/>
      <c r="O143" s="6"/>
    </row>
    <row r="144" spans="1:15" ht="15.75">
      <c r="A144" s="28"/>
      <c r="B144" s="29" t="s">
        <v>101</v>
      </c>
      <c r="C144" s="29"/>
      <c r="D144" s="29"/>
      <c r="E144" s="29"/>
      <c r="F144" s="29"/>
      <c r="G144" s="29"/>
      <c r="H144" s="29"/>
      <c r="I144" s="29"/>
      <c r="J144" s="29"/>
      <c r="K144" s="29"/>
      <c r="L144" s="29"/>
      <c r="M144" s="66">
        <f>M143+M142</f>
        <v>0</v>
      </c>
      <c r="N144" s="29"/>
      <c r="O144" s="6"/>
    </row>
    <row r="145" spans="1:15" ht="15.75">
      <c r="A145" s="28"/>
      <c r="B145" s="29"/>
      <c r="C145" s="29"/>
      <c r="D145" s="29"/>
      <c r="E145" s="29"/>
      <c r="F145" s="29"/>
      <c r="G145" s="29"/>
      <c r="H145" s="29"/>
      <c r="I145" s="29"/>
      <c r="J145" s="29"/>
      <c r="K145" s="29"/>
      <c r="L145" s="29"/>
      <c r="M145" s="82"/>
      <c r="N145" s="29"/>
      <c r="O145" s="6"/>
    </row>
    <row r="146" spans="1:15" ht="15.75">
      <c r="A146" s="7"/>
      <c r="B146" s="9"/>
      <c r="C146" s="9"/>
      <c r="D146" s="9"/>
      <c r="E146" s="9"/>
      <c r="F146" s="9"/>
      <c r="G146" s="9"/>
      <c r="H146" s="9"/>
      <c r="I146" s="9"/>
      <c r="J146" s="9"/>
      <c r="K146" s="9"/>
      <c r="L146" s="9"/>
      <c r="M146" s="64"/>
      <c r="N146" s="9"/>
      <c r="O146" s="6"/>
    </row>
    <row r="147" spans="1:15" ht="15.75">
      <c r="A147" s="7"/>
      <c r="B147" s="158" t="s">
        <v>102</v>
      </c>
      <c r="C147" s="15"/>
      <c r="D147" s="15"/>
      <c r="E147" s="9"/>
      <c r="F147" s="9"/>
      <c r="G147" s="9"/>
      <c r="H147" s="9"/>
      <c r="I147" s="9"/>
      <c r="J147" s="9"/>
      <c r="K147" s="9"/>
      <c r="L147" s="9"/>
      <c r="M147" s="64"/>
      <c r="N147" s="9"/>
      <c r="O147" s="6"/>
    </row>
    <row r="148" spans="1:18" ht="15.75">
      <c r="A148" s="28"/>
      <c r="B148" s="29" t="s">
        <v>103</v>
      </c>
      <c r="C148" s="87"/>
      <c r="D148" s="87"/>
      <c r="E148" s="29"/>
      <c r="F148" s="29"/>
      <c r="G148" s="29"/>
      <c r="H148" s="29"/>
      <c r="I148" s="29"/>
      <c r="J148" s="29"/>
      <c r="K148" s="29"/>
      <c r="L148" s="29"/>
      <c r="M148" s="66">
        <f>M68+M61</f>
        <v>170566</v>
      </c>
      <c r="N148" s="29"/>
      <c r="O148" s="6"/>
      <c r="R148" s="132"/>
    </row>
    <row r="149" spans="1:15" ht="15.75">
      <c r="A149" s="28"/>
      <c r="B149" s="29" t="s">
        <v>104</v>
      </c>
      <c r="C149" s="87"/>
      <c r="D149" s="87"/>
      <c r="E149" s="29"/>
      <c r="F149" s="29"/>
      <c r="G149" s="29"/>
      <c r="H149" s="29"/>
      <c r="I149" s="29"/>
      <c r="J149" s="29"/>
      <c r="K149" s="29"/>
      <c r="L149" s="29"/>
      <c r="M149" s="66">
        <f>M72</f>
        <v>20306</v>
      </c>
      <c r="N149" s="29"/>
      <c r="O149" s="6"/>
    </row>
    <row r="150" spans="1:15" ht="15.75">
      <c r="A150" s="28"/>
      <c r="B150" s="29" t="s">
        <v>50</v>
      </c>
      <c r="C150" s="87"/>
      <c r="D150" s="87"/>
      <c r="E150" s="29"/>
      <c r="F150" s="29"/>
      <c r="G150" s="29"/>
      <c r="H150" s="29"/>
      <c r="I150" s="29"/>
      <c r="J150" s="29"/>
      <c r="K150" s="29"/>
      <c r="L150" s="29"/>
      <c r="M150" s="66">
        <f>M71</f>
        <v>2926</v>
      </c>
      <c r="N150" s="29"/>
      <c r="O150" s="6"/>
    </row>
    <row r="151" spans="1:16" ht="15.75">
      <c r="A151" s="28"/>
      <c r="B151" s="29" t="s">
        <v>105</v>
      </c>
      <c r="C151" s="87"/>
      <c r="D151" s="87"/>
      <c r="E151" s="29"/>
      <c r="F151" s="29"/>
      <c r="G151" s="29"/>
      <c r="H151" s="29"/>
      <c r="I151" s="29"/>
      <c r="J151" s="29"/>
      <c r="K151" s="29"/>
      <c r="L151" s="29"/>
      <c r="M151" s="66">
        <f>M74</f>
        <v>-95</v>
      </c>
      <c r="N151" s="29"/>
      <c r="O151" s="6"/>
      <c r="P151" s="132"/>
    </row>
    <row r="152" spans="1:15" ht="15.75">
      <c r="A152" s="28"/>
      <c r="B152" s="29" t="s">
        <v>106</v>
      </c>
      <c r="C152" s="87"/>
      <c r="D152" s="87"/>
      <c r="E152" s="29"/>
      <c r="F152" s="29"/>
      <c r="G152" s="29"/>
      <c r="H152" s="29"/>
      <c r="I152" s="29"/>
      <c r="J152" s="29"/>
      <c r="K152" s="29"/>
      <c r="L152" s="29"/>
      <c r="M152" s="66">
        <f>M73</f>
        <v>4221</v>
      </c>
      <c r="N152" s="29"/>
      <c r="O152" s="6"/>
    </row>
    <row r="153" spans="1:15" ht="15.75">
      <c r="A153" s="28"/>
      <c r="B153" s="29" t="s">
        <v>107</v>
      </c>
      <c r="C153" s="87"/>
      <c r="D153" s="87"/>
      <c r="E153" s="29"/>
      <c r="F153" s="29"/>
      <c r="G153" s="29"/>
      <c r="H153" s="29"/>
      <c r="I153" s="29"/>
      <c r="J153" s="29"/>
      <c r="K153" s="29"/>
      <c r="L153" s="29"/>
      <c r="M153" s="66">
        <f>SUM(M148:M152)</f>
        <v>197924</v>
      </c>
      <c r="N153" s="29"/>
      <c r="O153" s="133"/>
    </row>
    <row r="154" spans="1:19" ht="15.75">
      <c r="A154" s="28"/>
      <c r="B154" s="29" t="s">
        <v>108</v>
      </c>
      <c r="C154" s="87"/>
      <c r="D154" s="87"/>
      <c r="E154" s="29"/>
      <c r="F154" s="29"/>
      <c r="G154" s="29"/>
      <c r="H154" s="29"/>
      <c r="I154" s="29"/>
      <c r="J154" s="29"/>
      <c r="K154" s="29"/>
      <c r="L154" s="29"/>
      <c r="M154" s="66">
        <f>M30</f>
        <v>194998</v>
      </c>
      <c r="N154" s="29"/>
      <c r="O154" s="6"/>
      <c r="P154" s="132"/>
      <c r="R154" s="132"/>
      <c r="S154" s="132"/>
    </row>
    <row r="155" spans="1:15" ht="15.75">
      <c r="A155" s="28"/>
      <c r="B155" s="29"/>
      <c r="C155" s="29"/>
      <c r="D155" s="29"/>
      <c r="E155" s="29"/>
      <c r="F155" s="29"/>
      <c r="G155" s="29"/>
      <c r="H155" s="29"/>
      <c r="I155" s="29"/>
      <c r="J155" s="29"/>
      <c r="K155" s="29"/>
      <c r="L155" s="29"/>
      <c r="M155" s="82"/>
      <c r="N155" s="29"/>
      <c r="O155" s="6"/>
    </row>
    <row r="156" spans="1:15" ht="15.75">
      <c r="A156" s="7"/>
      <c r="B156" s="9"/>
      <c r="C156" s="9"/>
      <c r="D156" s="9"/>
      <c r="E156" s="9"/>
      <c r="F156" s="9"/>
      <c r="G156" s="9"/>
      <c r="H156" s="9"/>
      <c r="I156" s="25"/>
      <c r="J156" s="9"/>
      <c r="K156" s="25"/>
      <c r="L156" s="9"/>
      <c r="M156" s="64"/>
      <c r="N156" s="9"/>
      <c r="O156" s="6"/>
    </row>
    <row r="157" spans="1:15" ht="15.75">
      <c r="A157" s="7"/>
      <c r="B157" s="158" t="s">
        <v>109</v>
      </c>
      <c r="C157" s="144"/>
      <c r="D157" s="144"/>
      <c r="E157" s="144"/>
      <c r="F157" s="144"/>
      <c r="G157" s="144"/>
      <c r="H157" s="144"/>
      <c r="I157" s="159" t="s">
        <v>205</v>
      </c>
      <c r="J157" s="159"/>
      <c r="K157" s="159" t="s">
        <v>210</v>
      </c>
      <c r="L157" s="144"/>
      <c r="M157" s="160" t="s">
        <v>192</v>
      </c>
      <c r="N157" s="9"/>
      <c r="O157" s="6"/>
    </row>
    <row r="158" spans="1:15" ht="15.75">
      <c r="A158" s="28"/>
      <c r="B158" s="29" t="s">
        <v>110</v>
      </c>
      <c r="C158" s="29"/>
      <c r="D158" s="29"/>
      <c r="E158" s="29"/>
      <c r="F158" s="29"/>
      <c r="G158" s="29"/>
      <c r="H158" s="29"/>
      <c r="I158" s="66"/>
      <c r="J158" s="29"/>
      <c r="K158" s="53"/>
      <c r="L158" s="29"/>
      <c r="M158" s="66"/>
      <c r="N158" s="29"/>
      <c r="O158" s="6"/>
    </row>
    <row r="159" spans="1:15" ht="15.75">
      <c r="A159" s="28"/>
      <c r="B159" s="29" t="s">
        <v>111</v>
      </c>
      <c r="C159" s="29"/>
      <c r="D159" s="29"/>
      <c r="E159" s="29"/>
      <c r="F159" s="29"/>
      <c r="G159" s="29"/>
      <c r="H159" s="29"/>
      <c r="I159" s="66"/>
      <c r="J159" s="29"/>
      <c r="K159" s="29"/>
      <c r="L159" s="29"/>
      <c r="M159" s="66" t="s">
        <v>224</v>
      </c>
      <c r="N159" s="29"/>
      <c r="O159" s="6"/>
    </row>
    <row r="160" spans="1:15" ht="15.75">
      <c r="A160" s="28"/>
      <c r="B160" s="29" t="s">
        <v>112</v>
      </c>
      <c r="C160" s="29"/>
      <c r="D160" s="29"/>
      <c r="E160" s="29"/>
      <c r="F160" s="29"/>
      <c r="G160" s="29"/>
      <c r="H160" s="29"/>
      <c r="I160" s="66"/>
      <c r="J160" s="29"/>
      <c r="K160" s="29"/>
      <c r="L160" s="29"/>
      <c r="M160" s="66" t="s">
        <v>224</v>
      </c>
      <c r="N160" s="29"/>
      <c r="O160" s="6"/>
    </row>
    <row r="161" spans="1:15" ht="15.75">
      <c r="A161" s="28"/>
      <c r="B161" s="29" t="s">
        <v>113</v>
      </c>
      <c r="C161" s="29"/>
      <c r="D161" s="29"/>
      <c r="E161" s="29"/>
      <c r="F161" s="29"/>
      <c r="G161" s="29"/>
      <c r="H161" s="29"/>
      <c r="I161" s="66"/>
      <c r="J161" s="29"/>
      <c r="K161" s="66"/>
      <c r="L161" s="29"/>
      <c r="M161" s="66" t="s">
        <v>224</v>
      </c>
      <c r="N161" s="29"/>
      <c r="O161" s="6"/>
    </row>
    <row r="162" spans="1:15" ht="15.75">
      <c r="A162" s="28"/>
      <c r="B162" s="29" t="s">
        <v>114</v>
      </c>
      <c r="C162" s="29"/>
      <c r="D162" s="29"/>
      <c r="E162" s="29"/>
      <c r="F162" s="29"/>
      <c r="G162" s="29"/>
      <c r="H162" s="29"/>
      <c r="I162" s="66"/>
      <c r="J162" s="29"/>
      <c r="K162" s="53"/>
      <c r="L162" s="29"/>
      <c r="M162" s="66"/>
      <c r="N162" s="29"/>
      <c r="O162" s="6"/>
    </row>
    <row r="163" spans="1:15" ht="15.75">
      <c r="A163" s="28"/>
      <c r="B163" s="29"/>
      <c r="C163" s="29"/>
      <c r="D163" s="29"/>
      <c r="E163" s="29"/>
      <c r="F163" s="29"/>
      <c r="G163" s="29"/>
      <c r="H163" s="29"/>
      <c r="I163" s="29"/>
      <c r="J163" s="29"/>
      <c r="K163" s="29"/>
      <c r="L163" s="29"/>
      <c r="M163" s="82"/>
      <c r="N163" s="29"/>
      <c r="O163" s="6"/>
    </row>
    <row r="164" spans="1:15" ht="15.75">
      <c r="A164" s="7"/>
      <c r="B164" s="9"/>
      <c r="C164" s="9"/>
      <c r="D164" s="9"/>
      <c r="E164" s="9"/>
      <c r="F164" s="9"/>
      <c r="G164" s="9"/>
      <c r="H164" s="9"/>
      <c r="I164" s="9"/>
      <c r="J164" s="9"/>
      <c r="K164" s="9"/>
      <c r="L164" s="9"/>
      <c r="M164" s="64"/>
      <c r="N164" s="9"/>
      <c r="O164" s="6"/>
    </row>
    <row r="165" spans="1:15" ht="15.75">
      <c r="A165" s="7"/>
      <c r="B165" s="158" t="s">
        <v>115</v>
      </c>
      <c r="C165" s="15"/>
      <c r="D165" s="15"/>
      <c r="E165" s="9"/>
      <c r="F165" s="9"/>
      <c r="G165" s="9"/>
      <c r="H165" s="9"/>
      <c r="I165" s="9"/>
      <c r="J165" s="9"/>
      <c r="K165" s="9"/>
      <c r="L165" s="9"/>
      <c r="M165" s="88"/>
      <c r="N165" s="9"/>
      <c r="O165" s="6"/>
    </row>
    <row r="166" spans="1:15" ht="15.75">
      <c r="A166" s="28"/>
      <c r="B166" s="29" t="s">
        <v>116</v>
      </c>
      <c r="C166" s="29"/>
      <c r="D166" s="29"/>
      <c r="E166" s="29"/>
      <c r="F166" s="29"/>
      <c r="G166" s="29"/>
      <c r="H166" s="29"/>
      <c r="I166" s="29"/>
      <c r="J166" s="29"/>
      <c r="K166" s="29"/>
      <c r="L166" s="29"/>
      <c r="M166" s="73">
        <f>(M88+M90+M91+M93)/-M92</f>
        <v>2.9915567282321898</v>
      </c>
      <c r="N166" s="29" t="s">
        <v>225</v>
      </c>
      <c r="O166" s="6"/>
    </row>
    <row r="167" spans="1:15" ht="15.75">
      <c r="A167" s="28"/>
      <c r="B167" s="29" t="s">
        <v>117</v>
      </c>
      <c r="C167" s="29"/>
      <c r="D167" s="29"/>
      <c r="E167" s="29"/>
      <c r="F167" s="29"/>
      <c r="G167" s="29"/>
      <c r="H167" s="29"/>
      <c r="I167" s="29"/>
      <c r="J167" s="29"/>
      <c r="K167" s="29"/>
      <c r="L167" s="29"/>
      <c r="M167" s="89">
        <v>2.81</v>
      </c>
      <c r="N167" s="29" t="s">
        <v>225</v>
      </c>
      <c r="O167" s="6"/>
    </row>
    <row r="168" spans="1:15" ht="15.75">
      <c r="A168" s="28"/>
      <c r="B168" s="29" t="s">
        <v>118</v>
      </c>
      <c r="C168" s="29"/>
      <c r="D168" s="29"/>
      <c r="E168" s="29"/>
      <c r="F168" s="29"/>
      <c r="G168" s="29"/>
      <c r="H168" s="29"/>
      <c r="I168" s="29"/>
      <c r="J168" s="29"/>
      <c r="K168" s="29"/>
      <c r="L168" s="29"/>
      <c r="M168" s="73">
        <f>(M88+M90+M91+M92+M93+M94)/-M95</f>
        <v>18.475490196078432</v>
      </c>
      <c r="N168" s="29" t="s">
        <v>225</v>
      </c>
      <c r="O168" s="6"/>
    </row>
    <row r="169" spans="1:15" ht="15.75">
      <c r="A169" s="28"/>
      <c r="B169" s="29" t="s">
        <v>119</v>
      </c>
      <c r="C169" s="29"/>
      <c r="D169" s="29"/>
      <c r="E169" s="29"/>
      <c r="F169" s="29"/>
      <c r="G169" s="29"/>
      <c r="H169" s="29"/>
      <c r="I169" s="29"/>
      <c r="J169" s="29"/>
      <c r="K169" s="29"/>
      <c r="L169" s="29"/>
      <c r="M169" s="90">
        <v>16.98</v>
      </c>
      <c r="N169" s="29" t="s">
        <v>225</v>
      </c>
      <c r="O169" s="6"/>
    </row>
    <row r="170" spans="1:15" ht="15.75">
      <c r="A170" s="28"/>
      <c r="B170" s="29" t="s">
        <v>120</v>
      </c>
      <c r="C170" s="29"/>
      <c r="D170" s="29"/>
      <c r="E170" s="29"/>
      <c r="F170" s="29"/>
      <c r="G170" s="29"/>
      <c r="H170" s="29"/>
      <c r="I170" s="29"/>
      <c r="J170" s="29"/>
      <c r="K170" s="29"/>
      <c r="L170" s="29"/>
      <c r="M170" s="73">
        <f>(M88+M90+M91+M92+M93+M94+M95)/-M96</f>
        <v>24.586206896551722</v>
      </c>
      <c r="N170" s="29" t="s">
        <v>225</v>
      </c>
      <c r="O170" s="6"/>
    </row>
    <row r="171" spans="1:15" ht="15.75">
      <c r="A171" s="28"/>
      <c r="B171" s="29" t="s">
        <v>121</v>
      </c>
      <c r="C171" s="29"/>
      <c r="D171" s="29"/>
      <c r="E171" s="29"/>
      <c r="F171" s="29"/>
      <c r="G171" s="29"/>
      <c r="H171" s="29"/>
      <c r="I171" s="29"/>
      <c r="J171" s="29"/>
      <c r="K171" s="29"/>
      <c r="L171" s="29"/>
      <c r="M171" s="89">
        <v>22.98</v>
      </c>
      <c r="N171" s="29" t="s">
        <v>225</v>
      </c>
      <c r="O171" s="6"/>
    </row>
    <row r="172" spans="1:15" ht="15.75">
      <c r="A172" s="28"/>
      <c r="B172" s="29"/>
      <c r="C172" s="29"/>
      <c r="D172" s="29"/>
      <c r="E172" s="29"/>
      <c r="F172" s="29"/>
      <c r="G172" s="29"/>
      <c r="H172" s="29"/>
      <c r="I172" s="29"/>
      <c r="J172" s="29"/>
      <c r="K172" s="29"/>
      <c r="L172" s="29"/>
      <c r="M172" s="29"/>
      <c r="N172" s="29"/>
      <c r="O172" s="6"/>
    </row>
    <row r="173" spans="1:15" ht="15.75">
      <c r="A173" s="7"/>
      <c r="B173" s="9"/>
      <c r="C173" s="9"/>
      <c r="D173" s="9"/>
      <c r="E173" s="9"/>
      <c r="F173" s="9"/>
      <c r="G173" s="9"/>
      <c r="H173" s="9"/>
      <c r="I173" s="9"/>
      <c r="J173" s="9"/>
      <c r="K173" s="9"/>
      <c r="L173" s="9"/>
      <c r="M173" s="9"/>
      <c r="N173" s="9"/>
      <c r="O173" s="6"/>
    </row>
    <row r="174" spans="1:15" ht="16.5" thickBot="1">
      <c r="A174" s="134"/>
      <c r="B174" s="135" t="str">
        <f>B116</f>
        <v>PASF1 INVESTOR REPORT QUARTER ENDING JANUARY 2003</v>
      </c>
      <c r="C174" s="136"/>
      <c r="D174" s="136"/>
      <c r="E174" s="136"/>
      <c r="F174" s="136"/>
      <c r="G174" s="136"/>
      <c r="H174" s="136"/>
      <c r="I174" s="136"/>
      <c r="J174" s="136"/>
      <c r="K174" s="136"/>
      <c r="L174" s="136"/>
      <c r="M174" s="136"/>
      <c r="N174" s="138"/>
      <c r="O174" s="6"/>
    </row>
    <row r="175" spans="1:15" ht="15.75">
      <c r="A175" s="2"/>
      <c r="B175" s="91"/>
      <c r="C175" s="91"/>
      <c r="D175" s="91"/>
      <c r="E175" s="91"/>
      <c r="F175" s="91"/>
      <c r="G175" s="91"/>
      <c r="H175" s="91"/>
      <c r="I175" s="91"/>
      <c r="J175" s="91"/>
      <c r="K175" s="91"/>
      <c r="L175" s="91"/>
      <c r="M175" s="91"/>
      <c r="N175" s="91"/>
      <c r="O175" s="6"/>
    </row>
    <row r="176" spans="1:15" ht="15.75">
      <c r="A176" s="92"/>
      <c r="B176" s="63" t="s">
        <v>122</v>
      </c>
      <c r="C176" s="93"/>
      <c r="D176" s="93"/>
      <c r="E176" s="93" t="s">
        <v>178</v>
      </c>
      <c r="F176" s="93"/>
      <c r="G176" s="94" t="s">
        <v>181</v>
      </c>
      <c r="H176" s="94"/>
      <c r="I176" s="94"/>
      <c r="J176" s="22"/>
      <c r="K176" s="22">
        <v>37652</v>
      </c>
      <c r="L176" s="18"/>
      <c r="M176" s="18"/>
      <c r="N176" s="9"/>
      <c r="O176" s="6"/>
    </row>
    <row r="177" spans="1:15" ht="15.75">
      <c r="A177" s="95"/>
      <c r="B177" s="74" t="s">
        <v>123</v>
      </c>
      <c r="C177" s="96"/>
      <c r="D177" s="96"/>
      <c r="E177" s="97">
        <v>0.12505</v>
      </c>
      <c r="F177" s="96"/>
      <c r="G177" s="97">
        <v>0.13752</v>
      </c>
      <c r="H177" s="86"/>
      <c r="I177" s="86"/>
      <c r="J177" s="86"/>
      <c r="K177" s="97">
        <v>0.13157</v>
      </c>
      <c r="L177" s="29"/>
      <c r="M177" s="29"/>
      <c r="N177" s="29"/>
      <c r="O177" s="6"/>
    </row>
    <row r="178" spans="1:15" ht="15.75">
      <c r="A178" s="95"/>
      <c r="B178" s="74" t="s">
        <v>124</v>
      </c>
      <c r="C178" s="96"/>
      <c r="D178" s="96"/>
      <c r="E178" s="97"/>
      <c r="F178" s="96"/>
      <c r="G178" s="97"/>
      <c r="H178" s="86"/>
      <c r="I178" s="86"/>
      <c r="J178" s="86"/>
      <c r="K178" s="97">
        <v>0.0654</v>
      </c>
      <c r="L178" s="97"/>
      <c r="M178" s="29"/>
      <c r="N178" s="29"/>
      <c r="O178" s="6"/>
    </row>
    <row r="179" spans="1:15" ht="15.75">
      <c r="A179" s="95"/>
      <c r="B179" s="74" t="s">
        <v>125</v>
      </c>
      <c r="C179" s="96"/>
      <c r="D179" s="96"/>
      <c r="E179" s="96"/>
      <c r="F179" s="96"/>
      <c r="G179" s="96"/>
      <c r="H179" s="86"/>
      <c r="I179" s="86"/>
      <c r="J179" s="86"/>
      <c r="K179" s="97">
        <f>K177-K178</f>
        <v>0.06616999999999999</v>
      </c>
      <c r="L179" s="29"/>
      <c r="M179" s="29"/>
      <c r="N179" s="29"/>
      <c r="O179" s="6"/>
    </row>
    <row r="180" spans="1:15" ht="15.75">
      <c r="A180" s="95"/>
      <c r="B180" s="74" t="s">
        <v>126</v>
      </c>
      <c r="C180" s="96"/>
      <c r="D180" s="96"/>
      <c r="E180" s="98">
        <v>0.1055</v>
      </c>
      <c r="F180" s="98"/>
      <c r="G180" s="98">
        <v>0.1166</v>
      </c>
      <c r="H180" s="86"/>
      <c r="I180" s="86"/>
      <c r="J180" s="86"/>
      <c r="K180" s="97">
        <v>0.11127</v>
      </c>
      <c r="L180" s="29"/>
      <c r="M180" s="29"/>
      <c r="N180" s="29"/>
      <c r="O180" s="6"/>
    </row>
    <row r="181" spans="1:15" ht="15.75">
      <c r="A181" s="95"/>
      <c r="B181" s="74" t="s">
        <v>127</v>
      </c>
      <c r="C181" s="96"/>
      <c r="D181" s="96"/>
      <c r="E181" s="96"/>
      <c r="F181" s="96"/>
      <c r="G181" s="96"/>
      <c r="H181" s="86"/>
      <c r="I181" s="86"/>
      <c r="J181" s="86"/>
      <c r="K181" s="97">
        <f>M32</f>
        <v>0.04467713764243736</v>
      </c>
      <c r="L181" s="29"/>
      <c r="M181" s="29"/>
      <c r="N181" s="29"/>
      <c r="O181" s="6"/>
    </row>
    <row r="182" spans="1:15" ht="15.75">
      <c r="A182" s="95"/>
      <c r="B182" s="74" t="s">
        <v>128</v>
      </c>
      <c r="C182" s="96"/>
      <c r="D182" s="96"/>
      <c r="E182" s="96"/>
      <c r="F182" s="96"/>
      <c r="G182" s="96"/>
      <c r="H182" s="86"/>
      <c r="I182" s="86"/>
      <c r="J182" s="86"/>
      <c r="K182" s="97">
        <f>K180-K181</f>
        <v>0.06659286235756263</v>
      </c>
      <c r="L182" s="29"/>
      <c r="M182" s="29"/>
      <c r="N182" s="29"/>
      <c r="O182" s="6"/>
    </row>
    <row r="183" spans="1:15" ht="15.75">
      <c r="A183" s="95"/>
      <c r="B183" s="74" t="s">
        <v>129</v>
      </c>
      <c r="C183" s="96"/>
      <c r="D183" s="96"/>
      <c r="E183" s="96"/>
      <c r="F183" s="96"/>
      <c r="G183" s="96"/>
      <c r="H183" s="86"/>
      <c r="I183" s="86"/>
      <c r="J183" s="86"/>
      <c r="K183" s="97" t="s">
        <v>211</v>
      </c>
      <c r="L183" s="29"/>
      <c r="M183" s="29"/>
      <c r="N183" s="29"/>
      <c r="O183" s="6"/>
    </row>
    <row r="184" spans="1:15" ht="15.75">
      <c r="A184" s="95"/>
      <c r="B184" s="74" t="s">
        <v>130</v>
      </c>
      <c r="C184" s="96"/>
      <c r="D184" s="96"/>
      <c r="E184" s="96"/>
      <c r="F184" s="96"/>
      <c r="G184" s="96"/>
      <c r="H184" s="86"/>
      <c r="I184" s="86"/>
      <c r="J184" s="86"/>
      <c r="K184" s="97" t="s">
        <v>212</v>
      </c>
      <c r="L184" s="29"/>
      <c r="M184" s="29"/>
      <c r="N184" s="29"/>
      <c r="O184" s="6"/>
    </row>
    <row r="185" spans="1:15" ht="15.75">
      <c r="A185" s="95"/>
      <c r="B185" s="74" t="s">
        <v>131</v>
      </c>
      <c r="C185" s="96"/>
      <c r="D185" s="96"/>
      <c r="E185" s="99">
        <v>9.94</v>
      </c>
      <c r="F185" s="96"/>
      <c r="G185" s="99">
        <v>3.91</v>
      </c>
      <c r="H185" s="86"/>
      <c r="I185" s="86"/>
      <c r="J185" s="86"/>
      <c r="K185" s="100">
        <v>6.791</v>
      </c>
      <c r="L185" s="29"/>
      <c r="M185" s="29"/>
      <c r="N185" s="29"/>
      <c r="O185" s="6"/>
    </row>
    <row r="186" spans="1:15" ht="15.75">
      <c r="A186" s="95"/>
      <c r="B186" s="74" t="s">
        <v>132</v>
      </c>
      <c r="C186" s="96"/>
      <c r="D186" s="96"/>
      <c r="E186" s="101">
        <v>11.76</v>
      </c>
      <c r="F186" s="99"/>
      <c r="G186" s="99">
        <v>2.98</v>
      </c>
      <c r="H186" s="86"/>
      <c r="I186" s="86"/>
      <c r="J186" s="86"/>
      <c r="K186" s="100">
        <v>7.2</v>
      </c>
      <c r="L186" s="29"/>
      <c r="M186" s="29"/>
      <c r="N186" s="29"/>
      <c r="O186" s="6"/>
    </row>
    <row r="187" spans="1:15" ht="15.75">
      <c r="A187" s="95"/>
      <c r="B187" s="74" t="s">
        <v>231</v>
      </c>
      <c r="C187" s="96"/>
      <c r="D187" s="96"/>
      <c r="E187" s="101"/>
      <c r="F187" s="99"/>
      <c r="G187" s="99"/>
      <c r="H187" s="86"/>
      <c r="I187" s="86"/>
      <c r="J187" s="86"/>
      <c r="K187" s="97">
        <v>0.0439</v>
      </c>
      <c r="L187" s="29"/>
      <c r="M187" s="29"/>
      <c r="N187" s="29"/>
      <c r="O187" s="6"/>
    </row>
    <row r="188" spans="1:15" ht="15.75">
      <c r="A188" s="95"/>
      <c r="B188" s="74" t="s">
        <v>232</v>
      </c>
      <c r="C188" s="96"/>
      <c r="D188" s="96"/>
      <c r="E188" s="101"/>
      <c r="F188" s="99"/>
      <c r="G188" s="99"/>
      <c r="H188" s="86"/>
      <c r="I188" s="86"/>
      <c r="J188" s="86"/>
      <c r="K188" s="97">
        <v>0.1847</v>
      </c>
      <c r="L188" s="29"/>
      <c r="M188" s="29"/>
      <c r="N188" s="29"/>
      <c r="O188" s="6"/>
    </row>
    <row r="189" spans="1:15" ht="15.75">
      <c r="A189" s="95"/>
      <c r="B189" s="74" t="s">
        <v>233</v>
      </c>
      <c r="C189" s="96"/>
      <c r="D189" s="96"/>
      <c r="E189" s="101"/>
      <c r="F189" s="99"/>
      <c r="G189" s="99"/>
      <c r="H189" s="86"/>
      <c r="I189" s="86"/>
      <c r="J189" s="86"/>
      <c r="K189" s="97">
        <v>0.1081</v>
      </c>
      <c r="L189" s="29"/>
      <c r="M189" s="29"/>
      <c r="N189" s="29"/>
      <c r="O189" s="6"/>
    </row>
    <row r="190" spans="1:15" ht="15.75">
      <c r="A190" s="95"/>
      <c r="B190" s="74" t="s">
        <v>234</v>
      </c>
      <c r="C190" s="96"/>
      <c r="D190" s="96"/>
      <c r="E190" s="101"/>
      <c r="F190" s="99"/>
      <c r="G190" s="99"/>
      <c r="H190" s="86"/>
      <c r="I190" s="86"/>
      <c r="J190" s="86"/>
      <c r="K190" s="97">
        <v>0.3158</v>
      </c>
      <c r="L190" s="29"/>
      <c r="M190" s="29"/>
      <c r="N190" s="29"/>
      <c r="O190" s="6"/>
    </row>
    <row r="191" spans="1:15" ht="15.75">
      <c r="A191" s="95"/>
      <c r="B191" s="74"/>
      <c r="C191" s="74"/>
      <c r="D191" s="74"/>
      <c r="E191" s="74"/>
      <c r="F191" s="74"/>
      <c r="G191" s="74"/>
      <c r="H191" s="29"/>
      <c r="I191" s="29"/>
      <c r="J191" s="37"/>
      <c r="K191" s="102"/>
      <c r="L191" s="29"/>
      <c r="M191" s="103"/>
      <c r="N191" s="29"/>
      <c r="O191" s="6"/>
    </row>
    <row r="192" spans="1:15" ht="15.75">
      <c r="A192" s="104"/>
      <c r="B192" s="17" t="s">
        <v>134</v>
      </c>
      <c r="C192" s="20"/>
      <c r="D192" s="20"/>
      <c r="E192" s="105"/>
      <c r="F192" s="20"/>
      <c r="G192" s="105"/>
      <c r="H192" s="20"/>
      <c r="I192" s="105"/>
      <c r="J192" s="20" t="s">
        <v>206</v>
      </c>
      <c r="K192" s="105" t="s">
        <v>213</v>
      </c>
      <c r="L192" s="18"/>
      <c r="M192" s="18"/>
      <c r="N192" s="9"/>
      <c r="O192" s="6"/>
    </row>
    <row r="193" spans="1:15" ht="15.75">
      <c r="A193" s="106"/>
      <c r="B193" s="74" t="s">
        <v>135</v>
      </c>
      <c r="C193" s="67"/>
      <c r="D193" s="67"/>
      <c r="E193" s="67"/>
      <c r="F193" s="67"/>
      <c r="G193" s="29"/>
      <c r="H193" s="29"/>
      <c r="I193" s="29"/>
      <c r="J193" s="29">
        <v>89</v>
      </c>
      <c r="K193" s="66">
        <v>465</v>
      </c>
      <c r="L193" s="66"/>
      <c r="M193" s="103"/>
      <c r="N193" s="107"/>
      <c r="O193" s="6"/>
    </row>
    <row r="194" spans="1:15" ht="15.75">
      <c r="A194" s="106"/>
      <c r="B194" s="74" t="s">
        <v>136</v>
      </c>
      <c r="C194" s="67"/>
      <c r="D194" s="67"/>
      <c r="E194" s="67"/>
      <c r="F194" s="67"/>
      <c r="G194" s="29"/>
      <c r="H194" s="29"/>
      <c r="I194" s="29"/>
      <c r="J194" s="29">
        <v>12</v>
      </c>
      <c r="K194" s="66">
        <v>95</v>
      </c>
      <c r="L194" s="66"/>
      <c r="M194" s="103"/>
      <c r="N194" s="107"/>
      <c r="O194" s="6"/>
    </row>
    <row r="195" spans="1:15" ht="15.75">
      <c r="A195" s="106"/>
      <c r="B195" s="74"/>
      <c r="C195" s="67"/>
      <c r="D195" s="67"/>
      <c r="E195" s="67"/>
      <c r="F195" s="67"/>
      <c r="G195" s="29"/>
      <c r="H195" s="29"/>
      <c r="I195" s="29"/>
      <c r="J195" s="29"/>
      <c r="K195" s="66"/>
      <c r="L195" s="66"/>
      <c r="M195" s="103"/>
      <c r="N195" s="107"/>
      <c r="O195" s="6"/>
    </row>
    <row r="196" spans="1:15" ht="15.75">
      <c r="A196" s="106"/>
      <c r="B196" s="74" t="s">
        <v>137</v>
      </c>
      <c r="C196" s="67"/>
      <c r="D196" s="67"/>
      <c r="E196" s="67"/>
      <c r="F196" s="67"/>
      <c r="G196" s="29"/>
      <c r="H196" s="29"/>
      <c r="I196" s="29"/>
      <c r="J196" s="29">
        <v>69</v>
      </c>
      <c r="K196" s="66">
        <v>956</v>
      </c>
      <c r="L196" s="66"/>
      <c r="M196" s="103"/>
      <c r="N196" s="107"/>
      <c r="O196" s="6"/>
    </row>
    <row r="197" spans="1:15" ht="15.75">
      <c r="A197" s="106"/>
      <c r="B197" s="74" t="s">
        <v>138</v>
      </c>
      <c r="C197" s="67"/>
      <c r="D197" s="67"/>
      <c r="E197" s="67"/>
      <c r="F197" s="67"/>
      <c r="G197" s="29"/>
      <c r="H197" s="29"/>
      <c r="I197" s="29"/>
      <c r="J197" s="29">
        <v>0</v>
      </c>
      <c r="K197" s="66">
        <v>0</v>
      </c>
      <c r="L197" s="66"/>
      <c r="M197" s="103"/>
      <c r="N197" s="107"/>
      <c r="O197" s="6"/>
    </row>
    <row r="198" spans="1:15" ht="15.75">
      <c r="A198" s="106"/>
      <c r="B198" s="74"/>
      <c r="C198" s="67"/>
      <c r="D198" s="67"/>
      <c r="E198" s="67"/>
      <c r="F198" s="67"/>
      <c r="G198" s="29"/>
      <c r="H198" s="29"/>
      <c r="I198" s="29"/>
      <c r="J198" s="29"/>
      <c r="K198" s="66"/>
      <c r="L198" s="66"/>
      <c r="M198" s="103"/>
      <c r="N198" s="107"/>
      <c r="O198" s="6"/>
    </row>
    <row r="199" spans="1:15" ht="15.75">
      <c r="A199" s="106"/>
      <c r="B199" s="162" t="s">
        <v>139</v>
      </c>
      <c r="C199" s="67"/>
      <c r="D199" s="67"/>
      <c r="E199" s="67"/>
      <c r="F199" s="67"/>
      <c r="G199" s="29"/>
      <c r="H199" s="29"/>
      <c r="I199" s="29"/>
      <c r="J199" s="29"/>
      <c r="K199" s="73" t="s">
        <v>214</v>
      </c>
      <c r="L199" s="29"/>
      <c r="M199" s="103"/>
      <c r="N199" s="107"/>
      <c r="O199" s="6"/>
    </row>
    <row r="200" spans="1:15" ht="15.75">
      <c r="A200" s="106"/>
      <c r="B200" s="162" t="s">
        <v>140</v>
      </c>
      <c r="C200" s="67"/>
      <c r="D200" s="67"/>
      <c r="E200" s="67"/>
      <c r="F200" s="67"/>
      <c r="G200" s="29"/>
      <c r="H200" s="29"/>
      <c r="I200" s="29"/>
      <c r="J200" s="29"/>
      <c r="K200" s="66">
        <f>-I72</f>
        <v>28651</v>
      </c>
      <c r="L200" s="29"/>
      <c r="M200" s="103"/>
      <c r="N200" s="107"/>
      <c r="O200" s="6"/>
    </row>
    <row r="201" spans="1:15" ht="15.75">
      <c r="A201" s="108"/>
      <c r="B201" s="162" t="s">
        <v>141</v>
      </c>
      <c r="C201" s="67"/>
      <c r="D201" s="67"/>
      <c r="E201" s="74"/>
      <c r="F201" s="74"/>
      <c r="G201" s="74"/>
      <c r="H201" s="29"/>
      <c r="I201" s="29"/>
      <c r="J201" s="29"/>
      <c r="K201" s="73"/>
      <c r="L201" s="29"/>
      <c r="M201" s="103"/>
      <c r="N201" s="109"/>
      <c r="O201" s="6"/>
    </row>
    <row r="202" spans="1:15" ht="15.75">
      <c r="A202" s="108"/>
      <c r="B202" s="74" t="s">
        <v>142</v>
      </c>
      <c r="C202" s="67"/>
      <c r="D202" s="67"/>
      <c r="E202" s="74"/>
      <c r="F202" s="74"/>
      <c r="G202" s="74"/>
      <c r="H202" s="29"/>
      <c r="I202" s="29"/>
      <c r="J202" s="29"/>
      <c r="K202" s="89">
        <f>I142</f>
        <v>720</v>
      </c>
      <c r="L202" s="29"/>
      <c r="M202" s="103"/>
      <c r="N202" s="109"/>
      <c r="O202" s="6"/>
    </row>
    <row r="203" spans="1:15" ht="15.75">
      <c r="A203" s="108"/>
      <c r="B203" s="74" t="s">
        <v>143</v>
      </c>
      <c r="C203" s="67"/>
      <c r="D203" s="67"/>
      <c r="E203" s="74"/>
      <c r="F203" s="74"/>
      <c r="G203" s="74"/>
      <c r="H203" s="29"/>
      <c r="I203" s="29"/>
      <c r="J203" s="29"/>
      <c r="K203" s="89">
        <f>'Oct 2002'!K203+I142</f>
        <v>3755</v>
      </c>
      <c r="L203" s="29"/>
      <c r="M203" s="103"/>
      <c r="N203" s="109"/>
      <c r="O203" s="6"/>
    </row>
    <row r="204" spans="1:15" ht="15.75">
      <c r="A204" s="108"/>
      <c r="B204" s="74" t="s">
        <v>144</v>
      </c>
      <c r="C204" s="67"/>
      <c r="D204" s="67"/>
      <c r="E204" s="74"/>
      <c r="F204" s="74"/>
      <c r="G204" s="74"/>
      <c r="H204" s="29"/>
      <c r="I204" s="29"/>
      <c r="J204" s="29"/>
      <c r="K204" s="89">
        <f>39+13+24+37+79+95+96</f>
        <v>383</v>
      </c>
      <c r="L204" s="29"/>
      <c r="M204" s="103"/>
      <c r="N204" s="109"/>
      <c r="O204" s="6"/>
    </row>
    <row r="205" spans="1:15" ht="15.75">
      <c r="A205" s="108"/>
      <c r="B205" s="74"/>
      <c r="C205" s="67"/>
      <c r="D205" s="67"/>
      <c r="E205" s="74"/>
      <c r="F205" s="74"/>
      <c r="G205" s="74"/>
      <c r="H205" s="29"/>
      <c r="I205" s="29"/>
      <c r="J205" s="29"/>
      <c r="K205" s="89"/>
      <c r="L205" s="29"/>
      <c r="M205" s="103"/>
      <c r="N205" s="109"/>
      <c r="O205" s="6"/>
    </row>
    <row r="206" spans="1:15" ht="15.75">
      <c r="A206" s="106"/>
      <c r="B206" s="74" t="s">
        <v>145</v>
      </c>
      <c r="C206" s="67"/>
      <c r="D206" s="67"/>
      <c r="E206" s="67"/>
      <c r="F206" s="67"/>
      <c r="G206" s="67"/>
      <c r="H206" s="29"/>
      <c r="I206" s="29"/>
      <c r="J206" s="29"/>
      <c r="K206" s="66">
        <f>G142</f>
        <v>14</v>
      </c>
      <c r="L206" s="29"/>
      <c r="M206" s="103"/>
      <c r="N206" s="109"/>
      <c r="O206" s="6"/>
    </row>
    <row r="207" spans="1:15" ht="15.75">
      <c r="A207" s="106"/>
      <c r="B207" s="74" t="s">
        <v>146</v>
      </c>
      <c r="C207" s="67"/>
      <c r="D207" s="67"/>
      <c r="E207" s="67"/>
      <c r="F207" s="67"/>
      <c r="G207" s="67"/>
      <c r="H207" s="29"/>
      <c r="I207" s="29"/>
      <c r="J207" s="29"/>
      <c r="K207" s="66">
        <f>'Oct 2002'!K207+G142</f>
        <v>466</v>
      </c>
      <c r="L207" s="29"/>
      <c r="M207" s="103"/>
      <c r="N207" s="109"/>
      <c r="O207" s="6"/>
    </row>
    <row r="208" spans="1:15" ht="15.75">
      <c r="A208" s="106"/>
      <c r="B208" s="74" t="s">
        <v>144</v>
      </c>
      <c r="C208" s="67"/>
      <c r="D208" s="67"/>
      <c r="E208" s="67"/>
      <c r="F208" s="67"/>
      <c r="G208" s="67"/>
      <c r="H208" s="29"/>
      <c r="I208" s="29"/>
      <c r="J208" s="29"/>
      <c r="K208" s="66"/>
      <c r="L208" s="29"/>
      <c r="M208" s="103"/>
      <c r="N208" s="109"/>
      <c r="O208" s="6"/>
    </row>
    <row r="209" spans="1:15" ht="15.75">
      <c r="A209" s="106"/>
      <c r="B209" s="74"/>
      <c r="C209" s="67"/>
      <c r="D209" s="67"/>
      <c r="E209" s="67"/>
      <c r="F209" s="67"/>
      <c r="G209" s="67"/>
      <c r="H209" s="29"/>
      <c r="I209" s="29"/>
      <c r="J209" s="29"/>
      <c r="K209" s="66"/>
      <c r="L209" s="29"/>
      <c r="M209" s="103"/>
      <c r="N209" s="109"/>
      <c r="O209" s="6"/>
    </row>
    <row r="210" spans="1:15" ht="15.75">
      <c r="A210" s="108"/>
      <c r="B210" s="162" t="s">
        <v>147</v>
      </c>
      <c r="C210" s="67"/>
      <c r="D210" s="67"/>
      <c r="E210" s="74"/>
      <c r="F210" s="74"/>
      <c r="G210" s="74"/>
      <c r="H210" s="29"/>
      <c r="I210" s="29"/>
      <c r="J210" s="29"/>
      <c r="K210" s="110"/>
      <c r="L210" s="29"/>
      <c r="M210" s="103"/>
      <c r="N210" s="109"/>
      <c r="O210" s="6"/>
    </row>
    <row r="211" spans="1:15" ht="15.75">
      <c r="A211" s="108"/>
      <c r="B211" s="74" t="s">
        <v>148</v>
      </c>
      <c r="C211" s="67"/>
      <c r="D211" s="67"/>
      <c r="E211" s="74"/>
      <c r="F211" s="74"/>
      <c r="G211" s="74"/>
      <c r="H211" s="29"/>
      <c r="I211" s="29"/>
      <c r="J211" s="29"/>
      <c r="K211" s="110">
        <v>0</v>
      </c>
      <c r="L211" s="29"/>
      <c r="M211" s="103"/>
      <c r="N211" s="109"/>
      <c r="O211" s="6"/>
    </row>
    <row r="212" spans="1:15" ht="15.75">
      <c r="A212" s="106"/>
      <c r="B212" s="74" t="s">
        <v>149</v>
      </c>
      <c r="C212" s="67"/>
      <c r="D212" s="67"/>
      <c r="E212" s="111"/>
      <c r="F212" s="111"/>
      <c r="G212" s="112"/>
      <c r="H212" s="29"/>
      <c r="I212" s="29"/>
      <c r="J212" s="29"/>
      <c r="K212" s="110">
        <v>0</v>
      </c>
      <c r="L212" s="29"/>
      <c r="M212" s="103"/>
      <c r="N212" s="109"/>
      <c r="O212" s="6"/>
    </row>
    <row r="213" spans="1:15" ht="15.75">
      <c r="A213" s="106"/>
      <c r="B213" s="74" t="s">
        <v>150</v>
      </c>
      <c r="C213" s="67"/>
      <c r="D213" s="67"/>
      <c r="E213" s="111"/>
      <c r="F213" s="111"/>
      <c r="G213" s="112"/>
      <c r="H213" s="29"/>
      <c r="I213" s="29"/>
      <c r="J213" s="29"/>
      <c r="K213" s="110">
        <v>0</v>
      </c>
      <c r="L213" s="29"/>
      <c r="M213" s="103"/>
      <c r="N213" s="109"/>
      <c r="O213" s="6"/>
    </row>
    <row r="214" spans="1:15" ht="15.75">
      <c r="A214" s="106"/>
      <c r="B214" s="74" t="s">
        <v>151</v>
      </c>
      <c r="C214" s="67"/>
      <c r="D214" s="67"/>
      <c r="E214" s="113"/>
      <c r="F214" s="111"/>
      <c r="G214" s="112"/>
      <c r="H214" s="29"/>
      <c r="I214" s="29"/>
      <c r="J214" s="29"/>
      <c r="K214" s="110">
        <v>0</v>
      </c>
      <c r="L214" s="29"/>
      <c r="M214" s="103"/>
      <c r="N214" s="109"/>
      <c r="O214" s="6"/>
    </row>
    <row r="215" spans="1:15" ht="15.75">
      <c r="A215" s="106"/>
      <c r="B215" s="74"/>
      <c r="C215" s="67"/>
      <c r="D215" s="67"/>
      <c r="E215" s="113"/>
      <c r="F215" s="111"/>
      <c r="G215" s="112"/>
      <c r="H215" s="29"/>
      <c r="I215" s="37"/>
      <c r="J215" s="37"/>
      <c r="K215" s="114"/>
      <c r="L215" s="37"/>
      <c r="M215" s="103"/>
      <c r="N215" s="109"/>
      <c r="O215" s="6"/>
    </row>
    <row r="216" spans="1:15" ht="15.75">
      <c r="A216" s="106"/>
      <c r="B216" s="162" t="s">
        <v>152</v>
      </c>
      <c r="C216" s="67"/>
      <c r="D216" s="67"/>
      <c r="E216" s="113"/>
      <c r="F216" s="111"/>
      <c r="G216" s="112"/>
      <c r="H216" s="29"/>
      <c r="I216" s="37"/>
      <c r="J216" s="37"/>
      <c r="K216" s="114"/>
      <c r="L216" s="37"/>
      <c r="M216" s="103"/>
      <c r="N216" s="109"/>
      <c r="O216" s="6"/>
    </row>
    <row r="217" spans="1:15" ht="15.75">
      <c r="A217" s="106"/>
      <c r="B217" s="74" t="s">
        <v>153</v>
      </c>
      <c r="C217" s="67"/>
      <c r="D217" s="67"/>
      <c r="E217" s="113"/>
      <c r="F217" s="111"/>
      <c r="G217" s="112"/>
      <c r="H217" s="29"/>
      <c r="I217" s="37"/>
      <c r="J217" s="37"/>
      <c r="K217" s="115">
        <v>261</v>
      </c>
      <c r="L217" s="37"/>
      <c r="M217" s="103"/>
      <c r="N217" s="109"/>
      <c r="O217" s="6"/>
    </row>
    <row r="218" spans="1:15" ht="15.75">
      <c r="A218" s="106"/>
      <c r="B218" s="74" t="s">
        <v>149</v>
      </c>
      <c r="C218" s="67"/>
      <c r="D218" s="67"/>
      <c r="E218" s="113"/>
      <c r="F218" s="111"/>
      <c r="G218" s="112"/>
      <c r="H218" s="29"/>
      <c r="I218" s="37"/>
      <c r="J218" s="37"/>
      <c r="K218" s="115">
        <v>1.41</v>
      </c>
      <c r="L218" s="37"/>
      <c r="M218" s="103"/>
      <c r="N218" s="109"/>
      <c r="O218" s="6"/>
    </row>
    <row r="219" spans="1:15" ht="15.75">
      <c r="A219" s="106"/>
      <c r="B219" s="74" t="s">
        <v>154</v>
      </c>
      <c r="C219" s="67"/>
      <c r="D219" s="67"/>
      <c r="E219" s="113"/>
      <c r="F219" s="111"/>
      <c r="G219" s="112"/>
      <c r="H219" s="29"/>
      <c r="I219" s="37"/>
      <c r="J219" s="37"/>
      <c r="K219" s="115">
        <v>28</v>
      </c>
      <c r="L219" s="37"/>
      <c r="M219" s="103"/>
      <c r="N219" s="109"/>
      <c r="O219" s="6"/>
    </row>
    <row r="220" spans="1:15" ht="15.75">
      <c r="A220" s="106"/>
      <c r="B220" s="74"/>
      <c r="C220" s="67"/>
      <c r="D220" s="67"/>
      <c r="E220" s="113"/>
      <c r="F220" s="111"/>
      <c r="G220" s="112"/>
      <c r="H220" s="29"/>
      <c r="I220" s="37"/>
      <c r="J220" s="37"/>
      <c r="K220" s="114"/>
      <c r="L220" s="37"/>
      <c r="M220" s="103"/>
      <c r="N220" s="109"/>
      <c r="O220" s="6"/>
    </row>
    <row r="221" spans="1:15" ht="15.75">
      <c r="A221" s="28"/>
      <c r="B221" s="32" t="s">
        <v>155</v>
      </c>
      <c r="C221" s="119"/>
      <c r="D221" s="119"/>
      <c r="E221" s="120"/>
      <c r="F221" s="119"/>
      <c r="G221" s="120"/>
      <c r="H221" s="119"/>
      <c r="I221" s="120" t="s">
        <v>206</v>
      </c>
      <c r="J221" s="119" t="s">
        <v>208</v>
      </c>
      <c r="K221" s="120" t="s">
        <v>215</v>
      </c>
      <c r="L221" s="119" t="s">
        <v>208</v>
      </c>
      <c r="M221" s="121"/>
      <c r="N221" s="109"/>
      <c r="O221" s="6"/>
    </row>
    <row r="222" spans="1:15" ht="15.75">
      <c r="A222" s="28"/>
      <c r="B222" s="67" t="s">
        <v>156</v>
      </c>
      <c r="C222" s="116"/>
      <c r="D222" s="116"/>
      <c r="E222" s="67"/>
      <c r="F222" s="116"/>
      <c r="G222" s="29"/>
      <c r="H222" s="116"/>
      <c r="I222" s="67">
        <v>6087</v>
      </c>
      <c r="J222" s="116">
        <f>I222/I226</f>
        <v>0.9645064173665029</v>
      </c>
      <c r="K222" s="66">
        <v>78789</v>
      </c>
      <c r="L222" s="117">
        <f>K222/K226</f>
        <v>0.9621673769951274</v>
      </c>
      <c r="M222" s="103"/>
      <c r="N222" s="109"/>
      <c r="O222" s="6"/>
    </row>
    <row r="223" spans="1:15" ht="15.75">
      <c r="A223" s="28"/>
      <c r="B223" s="67" t="s">
        <v>157</v>
      </c>
      <c r="C223" s="116"/>
      <c r="D223" s="116"/>
      <c r="E223" s="67"/>
      <c r="F223" s="116"/>
      <c r="G223" s="29"/>
      <c r="H223" s="118"/>
      <c r="I223" s="67">
        <v>110</v>
      </c>
      <c r="J223" s="116">
        <f>I223/I226</f>
        <v>0.017429884328949454</v>
      </c>
      <c r="K223" s="66">
        <v>1691</v>
      </c>
      <c r="L223" s="117">
        <f>K223/K226</f>
        <v>0.020650408489748067</v>
      </c>
      <c r="M223" s="103"/>
      <c r="N223" s="109"/>
      <c r="O223" s="6"/>
    </row>
    <row r="224" spans="1:15" ht="15.75">
      <c r="A224" s="28"/>
      <c r="B224" s="67" t="s">
        <v>158</v>
      </c>
      <c r="C224" s="116"/>
      <c r="D224" s="116"/>
      <c r="E224" s="67"/>
      <c r="F224" s="116"/>
      <c r="G224" s="29"/>
      <c r="H224" s="118"/>
      <c r="I224" s="67">
        <v>41</v>
      </c>
      <c r="J224" s="116">
        <f>I224/I226</f>
        <v>0.00649659324988116</v>
      </c>
      <c r="K224" s="66">
        <v>409</v>
      </c>
      <c r="L224" s="117">
        <f>K224/K226</f>
        <v>0.004994687801482531</v>
      </c>
      <c r="M224" s="103"/>
      <c r="N224" s="109"/>
      <c r="O224" s="6"/>
    </row>
    <row r="225" spans="1:15" ht="15.75">
      <c r="A225" s="28"/>
      <c r="B225" s="67" t="s">
        <v>159</v>
      </c>
      <c r="C225" s="116"/>
      <c r="D225" s="116"/>
      <c r="E225" s="67"/>
      <c r="F225" s="116"/>
      <c r="G225" s="29"/>
      <c r="H225" s="118"/>
      <c r="I225" s="67">
        <f>25+12+6+24+6</f>
        <v>73</v>
      </c>
      <c r="J225" s="116">
        <f>I225/I226</f>
        <v>0.011567105054666455</v>
      </c>
      <c r="K225" s="66">
        <f>350+186+52+349+61</f>
        <v>998</v>
      </c>
      <c r="L225" s="117">
        <f>K225/K226</f>
        <v>0.01218752671364197</v>
      </c>
      <c r="M225" s="103"/>
      <c r="N225" s="109"/>
      <c r="O225" s="6"/>
    </row>
    <row r="226" spans="1:15" ht="15.75">
      <c r="A226" s="28"/>
      <c r="B226" s="29"/>
      <c r="C226" s="29"/>
      <c r="D226" s="29"/>
      <c r="E226" s="37"/>
      <c r="F226" s="29"/>
      <c r="G226" s="29"/>
      <c r="H226" s="29"/>
      <c r="I226" s="65">
        <f>SUM(I222:I225)</f>
        <v>6311</v>
      </c>
      <c r="J226" s="117">
        <f>SUM(J222:J225)</f>
        <v>0.9999999999999999</v>
      </c>
      <c r="K226" s="66">
        <f>SUM(K222:K225)</f>
        <v>81887</v>
      </c>
      <c r="L226" s="117">
        <f>SUM(L222:L225)</f>
        <v>1</v>
      </c>
      <c r="M226" s="103"/>
      <c r="N226" s="29"/>
      <c r="O226" s="6"/>
    </row>
    <row r="227" spans="1:15" ht="15.75">
      <c r="A227" s="28"/>
      <c r="B227" s="29"/>
      <c r="C227" s="29"/>
      <c r="D227" s="29"/>
      <c r="E227" s="37"/>
      <c r="F227" s="29"/>
      <c r="G227" s="29"/>
      <c r="H227" s="29"/>
      <c r="I227" s="65"/>
      <c r="J227" s="117"/>
      <c r="K227" s="66"/>
      <c r="L227" s="117"/>
      <c r="M227" s="103"/>
      <c r="N227" s="29"/>
      <c r="O227" s="6"/>
    </row>
    <row r="228" spans="1:15" ht="15.75">
      <c r="A228" s="28"/>
      <c r="B228" s="32" t="s">
        <v>160</v>
      </c>
      <c r="C228" s="119"/>
      <c r="D228" s="119"/>
      <c r="E228" s="120"/>
      <c r="F228" s="119"/>
      <c r="G228" s="120"/>
      <c r="H228" s="119"/>
      <c r="I228" s="120" t="s">
        <v>206</v>
      </c>
      <c r="J228" s="119" t="s">
        <v>208</v>
      </c>
      <c r="K228" s="120" t="s">
        <v>215</v>
      </c>
      <c r="L228" s="119" t="s">
        <v>208</v>
      </c>
      <c r="M228" s="121"/>
      <c r="N228" s="109"/>
      <c r="O228" s="6"/>
    </row>
    <row r="229" spans="1:15" ht="15.75">
      <c r="A229" s="28"/>
      <c r="B229" s="67" t="s">
        <v>156</v>
      </c>
      <c r="C229" s="116"/>
      <c r="D229" s="116"/>
      <c r="E229" s="67"/>
      <c r="F229" s="116"/>
      <c r="G229" s="29"/>
      <c r="H229" s="116"/>
      <c r="I229" s="67">
        <v>16371</v>
      </c>
      <c r="J229" s="116">
        <f>I229/I233</f>
        <v>0.9819457773512476</v>
      </c>
      <c r="K229" s="66">
        <v>86971</v>
      </c>
      <c r="L229" s="116">
        <f>K229/K233</f>
        <v>0.9807395211944203</v>
      </c>
      <c r="M229" s="103"/>
      <c r="N229" s="109"/>
      <c r="O229" s="6"/>
    </row>
    <row r="230" spans="1:15" ht="15.75">
      <c r="A230" s="28"/>
      <c r="B230" s="67" t="s">
        <v>157</v>
      </c>
      <c r="C230" s="116"/>
      <c r="D230" s="116"/>
      <c r="E230" s="67"/>
      <c r="F230" s="116"/>
      <c r="G230" s="29"/>
      <c r="H230" s="118"/>
      <c r="I230" s="67">
        <v>146</v>
      </c>
      <c r="J230" s="116">
        <f>I230/I233</f>
        <v>0.008757197696737044</v>
      </c>
      <c r="K230" s="66">
        <v>815</v>
      </c>
      <c r="L230" s="116">
        <f>K230/K233</f>
        <v>0.009190450952311144</v>
      </c>
      <c r="M230" s="103"/>
      <c r="N230" s="109"/>
      <c r="O230" s="6"/>
    </row>
    <row r="231" spans="1:15" ht="15.75">
      <c r="A231" s="28"/>
      <c r="B231" s="67" t="s">
        <v>158</v>
      </c>
      <c r="C231" s="116"/>
      <c r="D231" s="116"/>
      <c r="E231" s="67"/>
      <c r="F231" s="116"/>
      <c r="G231" s="29"/>
      <c r="H231" s="118"/>
      <c r="I231" s="67">
        <v>46</v>
      </c>
      <c r="J231" s="116">
        <f>I231/I233</f>
        <v>0.002759117082533589</v>
      </c>
      <c r="K231" s="66">
        <v>261</v>
      </c>
      <c r="L231" s="116">
        <f>K231/K233</f>
        <v>0.0029431996301266367</v>
      </c>
      <c r="M231" s="103"/>
      <c r="N231" s="109"/>
      <c r="O231" s="6"/>
    </row>
    <row r="232" spans="1:15" ht="15.75">
      <c r="A232" s="28"/>
      <c r="B232" s="67" t="s">
        <v>159</v>
      </c>
      <c r="C232" s="116"/>
      <c r="D232" s="116"/>
      <c r="E232" s="67"/>
      <c r="F232" s="116"/>
      <c r="G232" s="29"/>
      <c r="H232" s="118"/>
      <c r="I232" s="67">
        <f>25+17+13+30+24</f>
        <v>109</v>
      </c>
      <c r="J232" s="116">
        <f>I232/I233</f>
        <v>0.006537907869481766</v>
      </c>
      <c r="K232" s="66">
        <f>153+132+92+144+111</f>
        <v>632</v>
      </c>
      <c r="L232" s="116">
        <f>K232/K233</f>
        <v>0.007126828223141894</v>
      </c>
      <c r="M232" s="103"/>
      <c r="N232" s="109"/>
      <c r="O232" s="6"/>
    </row>
    <row r="233" spans="1:15" ht="15.75">
      <c r="A233" s="28"/>
      <c r="B233" s="29"/>
      <c r="C233" s="29"/>
      <c r="D233" s="29"/>
      <c r="E233" s="37"/>
      <c r="F233" s="29"/>
      <c r="G233" s="29"/>
      <c r="H233" s="29"/>
      <c r="I233" s="65">
        <f>SUM(I229:I232)</f>
        <v>16672</v>
      </c>
      <c r="J233" s="117">
        <f>SUM(J229:J232)</f>
        <v>0.9999999999999999</v>
      </c>
      <c r="K233" s="66">
        <f>SUM(K229:K232)</f>
        <v>88679</v>
      </c>
      <c r="L233" s="117">
        <f>SUM(L229:L232)</f>
        <v>1</v>
      </c>
      <c r="M233" s="103"/>
      <c r="N233" s="29"/>
      <c r="O233" s="6"/>
    </row>
    <row r="234" spans="1:15" ht="15.75">
      <c r="A234" s="28"/>
      <c r="B234" s="29"/>
      <c r="C234" s="29"/>
      <c r="D234" s="29"/>
      <c r="E234" s="37"/>
      <c r="F234" s="29"/>
      <c r="G234" s="29"/>
      <c r="H234" s="29"/>
      <c r="I234" s="65"/>
      <c r="J234" s="117"/>
      <c r="K234" s="66"/>
      <c r="L234" s="117"/>
      <c r="M234" s="103"/>
      <c r="N234" s="29"/>
      <c r="O234" s="6"/>
    </row>
    <row r="235" spans="1:15" ht="15.75">
      <c r="A235" s="28"/>
      <c r="B235" s="29" t="s">
        <v>161</v>
      </c>
      <c r="C235" s="29"/>
      <c r="D235" s="29"/>
      <c r="E235" s="37"/>
      <c r="F235" s="29"/>
      <c r="G235" s="29"/>
      <c r="H235" s="29"/>
      <c r="I235" s="65"/>
      <c r="J235" s="117"/>
      <c r="K235" s="66">
        <f>K226+K233</f>
        <v>170566</v>
      </c>
      <c r="L235" s="117"/>
      <c r="M235" s="103"/>
      <c r="N235" s="29"/>
      <c r="O235" s="6"/>
    </row>
    <row r="236" spans="1:15" ht="15.75">
      <c r="A236" s="28"/>
      <c r="B236" s="29"/>
      <c r="C236" s="29"/>
      <c r="D236" s="29"/>
      <c r="E236" s="37"/>
      <c r="F236" s="29"/>
      <c r="G236" s="29"/>
      <c r="H236" s="29"/>
      <c r="I236" s="65"/>
      <c r="J236" s="117"/>
      <c r="K236" s="66"/>
      <c r="L236" s="117"/>
      <c r="M236" s="103"/>
      <c r="N236" s="29"/>
      <c r="O236" s="6"/>
    </row>
    <row r="237" spans="1:15" ht="15.75">
      <c r="A237" s="28"/>
      <c r="B237" s="29"/>
      <c r="C237" s="29"/>
      <c r="D237" s="29"/>
      <c r="E237" s="37"/>
      <c r="F237" s="29"/>
      <c r="G237" s="29"/>
      <c r="H237" s="29"/>
      <c r="I237" s="65"/>
      <c r="J237" s="117"/>
      <c r="K237" s="66"/>
      <c r="L237" s="117"/>
      <c r="M237" s="103"/>
      <c r="N237" s="29"/>
      <c r="O237" s="6"/>
    </row>
    <row r="238" spans="1:15" ht="15.75">
      <c r="A238" s="122"/>
      <c r="B238" s="17" t="s">
        <v>162</v>
      </c>
      <c r="C238" s="123"/>
      <c r="D238" s="123"/>
      <c r="E238" s="20" t="s">
        <v>182</v>
      </c>
      <c r="F238" s="18"/>
      <c r="G238" s="17" t="s">
        <v>194</v>
      </c>
      <c r="H238" s="124"/>
      <c r="I238" s="124"/>
      <c r="J238" s="124"/>
      <c r="K238" s="125"/>
      <c r="L238" s="14"/>
      <c r="M238" s="14"/>
      <c r="N238" s="14"/>
      <c r="O238" s="6"/>
    </row>
    <row r="239" spans="1:15" ht="15.75">
      <c r="A239" s="122"/>
      <c r="B239" s="15" t="s">
        <v>163</v>
      </c>
      <c r="C239" s="126"/>
      <c r="D239" s="126"/>
      <c r="E239" s="127" t="s">
        <v>183</v>
      </c>
      <c r="F239" s="15"/>
      <c r="G239" s="15" t="s">
        <v>195</v>
      </c>
      <c r="H239" s="126"/>
      <c r="I239" s="126"/>
      <c r="J239" s="14"/>
      <c r="K239" s="14"/>
      <c r="L239" s="14"/>
      <c r="M239" s="14"/>
      <c r="N239" s="14"/>
      <c r="O239" s="6"/>
    </row>
    <row r="240" spans="1:15" ht="15.75">
      <c r="A240" s="122"/>
      <c r="B240" s="15" t="s">
        <v>164</v>
      </c>
      <c r="C240" s="126"/>
      <c r="D240" s="126"/>
      <c r="E240" s="127" t="s">
        <v>184</v>
      </c>
      <c r="F240" s="15"/>
      <c r="G240" s="15" t="s">
        <v>196</v>
      </c>
      <c r="H240" s="126"/>
      <c r="I240" s="126"/>
      <c r="J240" s="14"/>
      <c r="K240" s="14"/>
      <c r="L240" s="14"/>
      <c r="M240" s="14"/>
      <c r="N240" s="14"/>
      <c r="O240" s="6"/>
    </row>
    <row r="241" spans="1:15" ht="15.75">
      <c r="A241" s="122"/>
      <c r="B241" s="15"/>
      <c r="C241" s="126"/>
      <c r="D241" s="126"/>
      <c r="E241" s="127"/>
      <c r="F241" s="15"/>
      <c r="G241" s="15"/>
      <c r="H241" s="126"/>
      <c r="I241" s="126"/>
      <c r="J241" s="14"/>
      <c r="K241" s="14"/>
      <c r="L241" s="14"/>
      <c r="M241" s="14"/>
      <c r="N241" s="14"/>
      <c r="O241" s="6"/>
    </row>
    <row r="242" spans="1:15" ht="15.75">
      <c r="A242" s="122"/>
      <c r="B242" s="15"/>
      <c r="C242" s="126"/>
      <c r="D242" s="126"/>
      <c r="E242" s="127"/>
      <c r="F242" s="15"/>
      <c r="G242" s="15"/>
      <c r="H242" s="126"/>
      <c r="I242" s="126"/>
      <c r="J242" s="14"/>
      <c r="K242" s="14"/>
      <c r="L242" s="14"/>
      <c r="M242" s="14"/>
      <c r="N242" s="14"/>
      <c r="O242" s="6"/>
    </row>
    <row r="243" spans="1:15" ht="15.75">
      <c r="A243" s="122"/>
      <c r="B243" s="15" t="str">
        <f>B174</f>
        <v>PASF1 INVESTOR REPORT QUARTER ENDING JANUARY 2003</v>
      </c>
      <c r="C243" s="126"/>
      <c r="D243" s="126"/>
      <c r="E243" s="127"/>
      <c r="F243" s="15"/>
      <c r="G243" s="15"/>
      <c r="H243" s="126"/>
      <c r="I243" s="126"/>
      <c r="J243" s="14"/>
      <c r="K243" s="14"/>
      <c r="L243" s="14"/>
      <c r="M243" s="14"/>
      <c r="N243" s="14"/>
      <c r="O243" s="6"/>
    </row>
    <row r="244" spans="1:14" ht="15">
      <c r="A244" s="130"/>
      <c r="B244" s="130"/>
      <c r="C244" s="130"/>
      <c r="D244" s="130"/>
      <c r="E244" s="130"/>
      <c r="F244" s="130"/>
      <c r="G244" s="130"/>
      <c r="H244" s="130"/>
      <c r="I244" s="130"/>
      <c r="J244" s="130"/>
      <c r="K244" s="130"/>
      <c r="L244" s="130"/>
      <c r="M244" s="130"/>
      <c r="N244" s="130"/>
    </row>
  </sheetData>
  <printOptions horizontalCentered="1" verticalCentered="1"/>
  <pageMargins left="0.2362204724409449" right="0.4330708661417323" top="0.2362204724409449" bottom="0.31496062992125984" header="0" footer="0"/>
  <pageSetup horizontalDpi="600" verticalDpi="600" orientation="landscape" paperSize="9" scale="48" r:id="rId2"/>
  <rowBreaks count="3" manualBreakCount="3">
    <brk id="53" max="14" man="1"/>
    <brk id="116" max="14" man="1"/>
    <brk id="174" max="1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